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20" windowWidth="15480" windowHeight="9120" tabRatio="701" firstSheet="2" activeTab="7"/>
  </bookViews>
  <sheets>
    <sheet name="Reggie_M" sheetId="285" r:id="rId1"/>
    <sheet name="SharonN_Perfomance" sheetId="283" r:id="rId2"/>
    <sheet name="RichS_Perfomance" sheetId="282" r:id="rId3"/>
    <sheet name="BrianM_Perfomance" sheetId="281" r:id="rId4"/>
    <sheet name="Harm_Perfomance" sheetId="280" r:id="rId5"/>
    <sheet name="Rud_Perfomance" sheetId="277" r:id="rId6"/>
    <sheet name="Dam_Perfomance" sheetId="273" r:id="rId7"/>
    <sheet name="Taf_Perfomance" sheetId="262" r:id="rId8"/>
    <sheet name="Account_Perfomance" sheetId="276" r:id="rId9"/>
    <sheet name="Template" sheetId="287" r:id="rId10"/>
    <sheet name="Projections" sheetId="279" r:id="rId11"/>
  </sheets>
  <calcPr calcId="124519"/>
</workbook>
</file>

<file path=xl/calcChain.xml><?xml version="1.0" encoding="utf-8"?>
<calcChain xmlns="http://schemas.openxmlformats.org/spreadsheetml/2006/main">
  <c r="F135" i="262"/>
  <c r="D5" i="285"/>
  <c r="J5" s="1"/>
  <c r="J17" i="283"/>
  <c r="D17"/>
  <c r="J32" i="282"/>
  <c r="D32"/>
  <c r="H47" i="281"/>
  <c r="H47" i="280"/>
  <c r="J42"/>
  <c r="J35" i="281"/>
  <c r="D35"/>
  <c r="J46" i="273"/>
  <c r="D42" i="280"/>
  <c r="D46" i="273"/>
  <c r="C46" i="276"/>
  <c r="D4" i="287"/>
  <c r="B6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B5"/>
  <c r="I4"/>
  <c r="E4"/>
  <c r="D4" i="285"/>
  <c r="J4" s="1"/>
  <c r="J4" i="283"/>
  <c r="J16"/>
  <c r="D16"/>
  <c r="J31" i="282"/>
  <c r="C32"/>
  <c r="D31"/>
  <c r="J34" i="281"/>
  <c r="E4" i="285"/>
  <c r="F4"/>
  <c r="B6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B5"/>
  <c r="I4"/>
  <c r="J15" i="283"/>
  <c r="D15"/>
  <c r="J30" i="282"/>
  <c r="D30"/>
  <c r="J14" i="283"/>
  <c r="J12"/>
  <c r="J11"/>
  <c r="J10"/>
  <c r="J9"/>
  <c r="D14"/>
  <c r="D12"/>
  <c r="D11"/>
  <c r="J29" i="282"/>
  <c r="J25"/>
  <c r="J24"/>
  <c r="J22"/>
  <c r="J27"/>
  <c r="J26"/>
  <c r="D29"/>
  <c r="D27"/>
  <c r="D26"/>
  <c r="F39" i="276"/>
  <c r="D10" i="283"/>
  <c r="D25" i="282"/>
  <c r="D9" i="283"/>
  <c r="D24" i="282"/>
  <c r="J37" i="273"/>
  <c r="D37"/>
  <c r="D7" i="283"/>
  <c r="D22" i="282"/>
  <c r="D36" i="273"/>
  <c r="J7" i="283"/>
  <c r="E22" i="282"/>
  <c r="J36" i="273"/>
  <c r="F4" i="287" l="1"/>
  <c r="C5"/>
  <c r="C5" i="285"/>
  <c r="E4" i="279"/>
  <c r="B160" i="283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B179" s="1"/>
  <c r="B180" s="1"/>
  <c r="B181" s="1"/>
  <c r="B182" s="1"/>
  <c r="B184" s="1"/>
  <c r="B185" s="1"/>
  <c r="B186" s="1"/>
  <c r="B187" s="1"/>
  <c r="B189" s="1"/>
  <c r="B190" s="1"/>
  <c r="B191" s="1"/>
  <c r="B192" s="1"/>
  <c r="B159"/>
  <c r="B155"/>
  <c r="B156" s="1"/>
  <c r="B157" s="1"/>
  <c r="B154"/>
  <c r="B150"/>
  <c r="B151" s="1"/>
  <c r="B152" s="1"/>
  <c r="B149"/>
  <c r="B145"/>
  <c r="B146" s="1"/>
  <c r="B147" s="1"/>
  <c r="B144"/>
  <c r="J21" i="282"/>
  <c r="D21"/>
  <c r="J35" i="273"/>
  <c r="D35"/>
  <c r="J20" i="282"/>
  <c r="D20"/>
  <c r="J34" i="273"/>
  <c r="D34"/>
  <c r="D4" i="279"/>
  <c r="J4" i="282"/>
  <c r="D4" i="283"/>
  <c r="C5" s="1"/>
  <c r="D5" s="1"/>
  <c r="J5" s="1"/>
  <c r="J15" i="282"/>
  <c r="J17"/>
  <c r="J16"/>
  <c r="J19"/>
  <c r="D19"/>
  <c r="J32" i="273"/>
  <c r="D32"/>
  <c r="D17" i="282"/>
  <c r="D31" i="273"/>
  <c r="J17"/>
  <c r="J17" i="280"/>
  <c r="J31" i="273"/>
  <c r="F31" i="276"/>
  <c r="E4" i="283"/>
  <c r="I4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D16" i="282"/>
  <c r="D30" i="273"/>
  <c r="J30" s="1"/>
  <c r="J29"/>
  <c r="E5" i="287" l="1"/>
  <c r="I5" s="1"/>
  <c r="D5"/>
  <c r="E5" i="285"/>
  <c r="I5" s="1"/>
  <c r="E5" i="283"/>
  <c r="F4"/>
  <c r="I5"/>
  <c r="C6"/>
  <c r="D6" s="1"/>
  <c r="J6" s="1"/>
  <c r="D15" i="282"/>
  <c r="D29" i="273"/>
  <c r="F110" i="262"/>
  <c r="J14" i="282"/>
  <c r="D14"/>
  <c r="J27" i="273"/>
  <c r="D27"/>
  <c r="E14" i="282"/>
  <c r="E27" i="273"/>
  <c r="F5" i="287" l="1"/>
  <c r="C6"/>
  <c r="F5" i="285"/>
  <c r="C6"/>
  <c r="E6" i="283"/>
  <c r="I6" s="1"/>
  <c r="F5"/>
  <c r="J12" i="282"/>
  <c r="D12"/>
  <c r="J26" i="273"/>
  <c r="D26"/>
  <c r="J11" i="282"/>
  <c r="D11"/>
  <c r="J25" i="273"/>
  <c r="D25"/>
  <c r="J10" i="282"/>
  <c r="D10"/>
  <c r="J24" i="273"/>
  <c r="J19" i="280"/>
  <c r="D24" i="273"/>
  <c r="J9" i="282"/>
  <c r="D9"/>
  <c r="D19" i="280"/>
  <c r="J22" i="273"/>
  <c r="D22"/>
  <c r="D6" i="287" l="1"/>
  <c r="E6"/>
  <c r="I6" s="1"/>
  <c r="D6" i="285"/>
  <c r="E6"/>
  <c r="I6" s="1"/>
  <c r="C7" i="283"/>
  <c r="F6"/>
  <c r="J21" i="273"/>
  <c r="J20"/>
  <c r="J7" i="282"/>
  <c r="D7"/>
  <c r="D17" i="280"/>
  <c r="D21" i="273"/>
  <c r="J16" i="280"/>
  <c r="J9" i="281"/>
  <c r="D4" i="282"/>
  <c r="C5"/>
  <c r="D5" s="1"/>
  <c r="J5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D4" i="281"/>
  <c r="J4" s="1"/>
  <c r="C7" i="287" l="1"/>
  <c r="F6"/>
  <c r="F6" i="285"/>
  <c r="C7"/>
  <c r="E7" i="283"/>
  <c r="I7" s="1"/>
  <c r="E5" i="282"/>
  <c r="I5" s="1"/>
  <c r="F4"/>
  <c r="B5" i="281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C5"/>
  <c r="D5" s="1"/>
  <c r="J5" s="1"/>
  <c r="D7" i="287" l="1"/>
  <c r="E7"/>
  <c r="I7" s="1"/>
  <c r="D7" i="285"/>
  <c r="F7" s="1"/>
  <c r="E7"/>
  <c r="I7" s="1"/>
  <c r="C9" i="283"/>
  <c r="E9" s="1"/>
  <c r="F7"/>
  <c r="C6" i="282"/>
  <c r="D6" s="1"/>
  <c r="J6" s="1"/>
  <c r="F5"/>
  <c r="E5" i="281"/>
  <c r="I5" s="1"/>
  <c r="F4"/>
  <c r="D4" i="280"/>
  <c r="J4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J4" i="279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8" s="1"/>
  <c r="F7" i="287" l="1"/>
  <c r="C9"/>
  <c r="C9" i="285"/>
  <c r="I9" i="283"/>
  <c r="E6" i="282"/>
  <c r="I6" s="1"/>
  <c r="C6" i="281"/>
  <c r="D6" s="1"/>
  <c r="J6" s="1"/>
  <c r="F5"/>
  <c r="C5" i="279"/>
  <c r="E5" s="1"/>
  <c r="E4" i="280"/>
  <c r="I4" s="1"/>
  <c r="I4" i="279"/>
  <c r="D9" i="287" l="1"/>
  <c r="E9"/>
  <c r="I9" s="1"/>
  <c r="D9" i="285"/>
  <c r="E9"/>
  <c r="I9" s="1"/>
  <c r="I5" i="279"/>
  <c r="D5"/>
  <c r="J5" s="1"/>
  <c r="C10" i="283"/>
  <c r="E10" s="1"/>
  <c r="F9"/>
  <c r="C7" i="282"/>
  <c r="E7" s="1"/>
  <c r="F6"/>
  <c r="E6" i="281"/>
  <c r="I6" s="1"/>
  <c r="F4" i="280"/>
  <c r="C5"/>
  <c r="D5" s="1"/>
  <c r="J5" s="1"/>
  <c r="F4" i="279"/>
  <c r="C10" i="287" l="1"/>
  <c r="F9"/>
  <c r="F9" i="285"/>
  <c r="C10"/>
  <c r="I10" i="283"/>
  <c r="C6" i="279"/>
  <c r="E6" s="1"/>
  <c r="I7" i="282"/>
  <c r="F5" i="279"/>
  <c r="C7" i="281"/>
  <c r="D7" s="1"/>
  <c r="J7" s="1"/>
  <c r="F6"/>
  <c r="E5" i="280"/>
  <c r="I5" s="1"/>
  <c r="C6"/>
  <c r="D6" s="1"/>
  <c r="J6" s="1"/>
  <c r="E10" i="287" l="1"/>
  <c r="I10" s="1"/>
  <c r="D10"/>
  <c r="E10" i="285"/>
  <c r="I10" s="1"/>
  <c r="D10"/>
  <c r="I6" i="279"/>
  <c r="D6"/>
  <c r="C11" i="283"/>
  <c r="E11" s="1"/>
  <c r="F10"/>
  <c r="C9" i="282"/>
  <c r="E9" s="1"/>
  <c r="F7"/>
  <c r="E7" i="281"/>
  <c r="I7" s="1"/>
  <c r="F5" i="280"/>
  <c r="E6"/>
  <c r="I6" s="1"/>
  <c r="C7"/>
  <c r="D7" s="1"/>
  <c r="J7" s="1"/>
  <c r="F10" i="287" l="1"/>
  <c r="C11"/>
  <c r="F10" i="285"/>
  <c r="C11"/>
  <c r="I11" i="283"/>
  <c r="F6" i="279"/>
  <c r="J6"/>
  <c r="C7"/>
  <c r="E7" s="1"/>
  <c r="I9" i="282"/>
  <c r="C9" i="281"/>
  <c r="D9" s="1"/>
  <c r="F7"/>
  <c r="F6" i="280"/>
  <c r="D11" i="287" l="1"/>
  <c r="E11"/>
  <c r="I11" s="1"/>
  <c r="D11" i="285"/>
  <c r="E11"/>
  <c r="I11" s="1"/>
  <c r="I7" i="279"/>
  <c r="D7"/>
  <c r="F11" i="283"/>
  <c r="C12"/>
  <c r="E12" s="1"/>
  <c r="F9" i="282"/>
  <c r="C10"/>
  <c r="E10" s="1"/>
  <c r="E9" i="281"/>
  <c r="I9" s="1"/>
  <c r="E7" i="280"/>
  <c r="I7" s="1"/>
  <c r="F11" i="287" l="1"/>
  <c r="C12"/>
  <c r="F11" i="285"/>
  <c r="C12"/>
  <c r="I12" i="283"/>
  <c r="J7" i="279"/>
  <c r="C9"/>
  <c r="E9" s="1"/>
  <c r="F7"/>
  <c r="I10" i="282"/>
  <c r="C10" i="281"/>
  <c r="F9"/>
  <c r="C9" i="280"/>
  <c r="D9" s="1"/>
  <c r="J9" s="1"/>
  <c r="F7"/>
  <c r="E12" i="287" l="1"/>
  <c r="I12" s="1"/>
  <c r="D12"/>
  <c r="E10" i="281"/>
  <c r="D10"/>
  <c r="J10" s="1"/>
  <c r="D12" i="285"/>
  <c r="E12"/>
  <c r="I12" s="1"/>
  <c r="I9" i="279"/>
  <c r="D9"/>
  <c r="C14" i="283"/>
  <c r="E14" s="1"/>
  <c r="F12"/>
  <c r="C11" i="282"/>
  <c r="E11" s="1"/>
  <c r="F10"/>
  <c r="I10" i="281"/>
  <c r="E9" i="280"/>
  <c r="I9" s="1"/>
  <c r="F12" i="287" l="1"/>
  <c r="C14"/>
  <c r="F12" i="285"/>
  <c r="C14"/>
  <c r="I14" i="283"/>
  <c r="J9" i="279"/>
  <c r="C10"/>
  <c r="E10" s="1"/>
  <c r="F9"/>
  <c r="I11" i="282"/>
  <c r="C11" i="281"/>
  <c r="F10"/>
  <c r="C10" i="280"/>
  <c r="D10" s="1"/>
  <c r="J10" s="1"/>
  <c r="F9"/>
  <c r="D14" i="287" l="1"/>
  <c r="E14"/>
  <c r="I14" s="1"/>
  <c r="E11" i="281"/>
  <c r="D11"/>
  <c r="J11" s="1"/>
  <c r="D14" i="285"/>
  <c r="E14"/>
  <c r="I14" s="1"/>
  <c r="D10" i="279"/>
  <c r="I10"/>
  <c r="C15" i="283"/>
  <c r="E15" s="1"/>
  <c r="F14"/>
  <c r="C12" i="282"/>
  <c r="E12" s="1"/>
  <c r="F11"/>
  <c r="I11" i="281"/>
  <c r="E10" i="280"/>
  <c r="I10" s="1"/>
  <c r="C15" i="287" l="1"/>
  <c r="F14"/>
  <c r="F14" i="285"/>
  <c r="C15"/>
  <c r="I15" i="283"/>
  <c r="J10" i="279"/>
  <c r="C11"/>
  <c r="E11" s="1"/>
  <c r="F10"/>
  <c r="I12" i="282"/>
  <c r="C12" i="281"/>
  <c r="F11"/>
  <c r="C11" i="280"/>
  <c r="D11" s="1"/>
  <c r="J11" s="1"/>
  <c r="F10"/>
  <c r="D15" i="287" l="1"/>
  <c r="E15"/>
  <c r="I15" s="1"/>
  <c r="E12" i="281"/>
  <c r="D12"/>
  <c r="J12" s="1"/>
  <c r="E15" i="285"/>
  <c r="I15" s="1"/>
  <c r="D15"/>
  <c r="I11" i="279"/>
  <c r="D11"/>
  <c r="F15" i="283"/>
  <c r="C16"/>
  <c r="E16" s="1"/>
  <c r="F12" i="282"/>
  <c r="C14"/>
  <c r="I12" i="281"/>
  <c r="E11" i="280"/>
  <c r="I11" s="1"/>
  <c r="D4" i="277"/>
  <c r="J4" s="1"/>
  <c r="D4" i="273"/>
  <c r="J4" s="1"/>
  <c r="C4" i="276"/>
  <c r="B5" i="277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C16" i="287" l="1"/>
  <c r="F15"/>
  <c r="F15" i="285"/>
  <c r="C16"/>
  <c r="C17" i="283"/>
  <c r="E17" s="1"/>
  <c r="I16"/>
  <c r="J11" i="279"/>
  <c r="C12"/>
  <c r="E12" s="1"/>
  <c r="F11"/>
  <c r="C5" i="277"/>
  <c r="D5" s="1"/>
  <c r="J5" s="1"/>
  <c r="I14" i="282"/>
  <c r="B5" i="276"/>
  <c r="F12" i="281"/>
  <c r="C14"/>
  <c r="C12" i="280"/>
  <c r="D12" s="1"/>
  <c r="J12" s="1"/>
  <c r="F11"/>
  <c r="F4" i="277"/>
  <c r="E5" l="1"/>
  <c r="I5" s="1"/>
  <c r="D16" i="287"/>
  <c r="E16"/>
  <c r="I16" s="1"/>
  <c r="E14" i="281"/>
  <c r="I14" s="1"/>
  <c r="D14"/>
  <c r="J14" s="1"/>
  <c r="D16" i="285"/>
  <c r="E16"/>
  <c r="I16" s="1"/>
  <c r="I12" i="279"/>
  <c r="D12"/>
  <c r="F16" i="283"/>
  <c r="F14" i="282"/>
  <c r="C15"/>
  <c r="E15" s="1"/>
  <c r="E12" i="280"/>
  <c r="I12" s="1"/>
  <c r="C6" i="277"/>
  <c r="D6" s="1"/>
  <c r="J6" s="1"/>
  <c r="A5" i="276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2" s="1"/>
  <c r="A94" s="1"/>
  <c r="A95" s="1"/>
  <c r="A96" s="1"/>
  <c r="A97" s="1"/>
  <c r="A99" s="1"/>
  <c r="A100" s="1"/>
  <c r="A101" s="1"/>
  <c r="A102" s="1"/>
  <c r="A104" s="1"/>
  <c r="A105" s="1"/>
  <c r="A106" s="1"/>
  <c r="A107" s="1"/>
  <c r="A109" s="1"/>
  <c r="A110" s="1"/>
  <c r="A111" s="1"/>
  <c r="A112" s="1"/>
  <c r="A114" s="1"/>
  <c r="A115" s="1"/>
  <c r="A116" s="1"/>
  <c r="A117" s="1"/>
  <c r="A119" s="1"/>
  <c r="A120" s="1"/>
  <c r="A121" s="1"/>
  <c r="A122" s="1"/>
  <c r="A124" s="1"/>
  <c r="A125" s="1"/>
  <c r="A126" s="1"/>
  <c r="A127" s="1"/>
  <c r="A129" s="1"/>
  <c r="A130" s="1"/>
  <c r="A131" s="1"/>
  <c r="A132" s="1"/>
  <c r="A134" s="1"/>
  <c r="A135" s="1"/>
  <c r="A136" s="1"/>
  <c r="A137" s="1"/>
  <c r="A138" s="1"/>
  <c r="B5" i="273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C5"/>
  <c r="D5" s="1"/>
  <c r="J5" s="1"/>
  <c r="A5" i="262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3" s="1"/>
  <c r="A94" s="1"/>
  <c r="A95" s="1"/>
  <c r="A96" s="1"/>
  <c r="A98" s="1"/>
  <c r="A99" s="1"/>
  <c r="A100" s="1"/>
  <c r="A101" s="1"/>
  <c r="A103" s="1"/>
  <c r="A104" s="1"/>
  <c r="A105" s="1"/>
  <c r="A106" s="1"/>
  <c r="A108" s="1"/>
  <c r="A109" s="1"/>
  <c r="A110" s="1"/>
  <c r="A111" s="1"/>
  <c r="A113" s="1"/>
  <c r="A114" s="1"/>
  <c r="A115" s="1"/>
  <c r="A116" s="1"/>
  <c r="A118" s="1"/>
  <c r="A119" s="1"/>
  <c r="A120" s="1"/>
  <c r="A121" s="1"/>
  <c r="A123" s="1"/>
  <c r="A124" s="1"/>
  <c r="A125" s="1"/>
  <c r="A126" s="1"/>
  <c r="A128" s="1"/>
  <c r="A129" s="1"/>
  <c r="A130" s="1"/>
  <c r="A131" s="1"/>
  <c r="A133" s="1"/>
  <c r="A134" s="1"/>
  <c r="A135" s="1"/>
  <c r="A136" s="1"/>
  <c r="A138" s="1"/>
  <c r="A139" s="1"/>
  <c r="A140" s="1"/>
  <c r="A141" s="1"/>
  <c r="A143" s="1"/>
  <c r="A144" s="1"/>
  <c r="A145" s="1"/>
  <c r="A146" s="1"/>
  <c r="A148" s="1"/>
  <c r="A149" s="1"/>
  <c r="A150" s="1"/>
  <c r="A151" s="1"/>
  <c r="A153" s="1"/>
  <c r="A154" s="1"/>
  <c r="A155" s="1"/>
  <c r="A156" s="1"/>
  <c r="A158" s="1"/>
  <c r="A159" s="1"/>
  <c r="A160" s="1"/>
  <c r="A161" s="1"/>
  <c r="A163" s="1"/>
  <c r="A164" s="1"/>
  <c r="A165" s="1"/>
  <c r="A166" s="1"/>
  <c r="A168" s="1"/>
  <c r="A169" s="1"/>
  <c r="A170" s="1"/>
  <c r="A171" s="1"/>
  <c r="A173" s="1"/>
  <c r="A174" s="1"/>
  <c r="A175" s="1"/>
  <c r="A176" s="1"/>
  <c r="A178" s="1"/>
  <c r="A179" s="1"/>
  <c r="A180" s="1"/>
  <c r="A181" s="1"/>
  <c r="A183" s="1"/>
  <c r="A184" s="1"/>
  <c r="A185" s="1"/>
  <c r="A186" s="1"/>
  <c r="A188" s="1"/>
  <c r="A189" s="1"/>
  <c r="A190" s="1"/>
  <c r="A191" s="1"/>
  <c r="A193" s="1"/>
  <c r="A194" s="1"/>
  <c r="A195" s="1"/>
  <c r="A196" s="1"/>
  <c r="A198" s="1"/>
  <c r="A199" s="1"/>
  <c r="A200" s="1"/>
  <c r="A201" s="1"/>
  <c r="A203" s="1"/>
  <c r="A204" s="1"/>
  <c r="A205" s="1"/>
  <c r="A206" s="1"/>
  <c r="A208" s="1"/>
  <c r="A209" s="1"/>
  <c r="A210" s="1"/>
  <c r="A211" s="1"/>
  <c r="A213" s="1"/>
  <c r="A214" s="1"/>
  <c r="A215" s="1"/>
  <c r="A216" s="1"/>
  <c r="A218" s="1"/>
  <c r="A219" s="1"/>
  <c r="A220" s="1"/>
  <c r="A221" s="1"/>
  <c r="A223" s="1"/>
  <c r="A224" s="1"/>
  <c r="A225" s="1"/>
  <c r="A226" s="1"/>
  <c r="A227" s="1"/>
  <c r="D4"/>
  <c r="H4" s="1"/>
  <c r="C4"/>
  <c r="B5" s="1"/>
  <c r="F5" i="277" l="1"/>
  <c r="C17" i="287"/>
  <c r="F16"/>
  <c r="F16" i="285"/>
  <c r="C17"/>
  <c r="J12" i="279"/>
  <c r="F12"/>
  <c r="C14"/>
  <c r="E14" s="1"/>
  <c r="I17" i="283"/>
  <c r="E4" i="262"/>
  <c r="I15" i="282"/>
  <c r="D5" i="262"/>
  <c r="H5" s="1"/>
  <c r="C5"/>
  <c r="C15" i="281"/>
  <c r="F14"/>
  <c r="C14" i="280"/>
  <c r="D14" s="1"/>
  <c r="J14" s="1"/>
  <c r="F12"/>
  <c r="E6" i="277"/>
  <c r="I6" s="1"/>
  <c r="E5" i="273"/>
  <c r="I5" s="1"/>
  <c r="F4"/>
  <c r="I4"/>
  <c r="E17" i="287" l="1"/>
  <c r="I17" s="1"/>
  <c r="D17"/>
  <c r="E15" i="281"/>
  <c r="I15" s="1"/>
  <c r="D15"/>
  <c r="J15" s="1"/>
  <c r="D17" i="285"/>
  <c r="E17"/>
  <c r="I17" s="1"/>
  <c r="I14" i="279"/>
  <c r="D14"/>
  <c r="F17" i="283"/>
  <c r="H17"/>
  <c r="C19" s="1"/>
  <c r="E19" s="1"/>
  <c r="F15" i="282"/>
  <c r="C16"/>
  <c r="E16" s="1"/>
  <c r="E5" i="262"/>
  <c r="B6"/>
  <c r="C5" i="276"/>
  <c r="E14" i="280"/>
  <c r="I14" s="1"/>
  <c r="C7" i="277"/>
  <c r="D7" s="1"/>
  <c r="J7" s="1"/>
  <c r="F6"/>
  <c r="F5" i="273"/>
  <c r="C6"/>
  <c r="D6" s="1"/>
  <c r="J6" s="1"/>
  <c r="F17" i="287" l="1"/>
  <c r="H17"/>
  <c r="C19" s="1"/>
  <c r="F17" i="285"/>
  <c r="H17"/>
  <c r="C19" s="1"/>
  <c r="I19" i="283"/>
  <c r="D19"/>
  <c r="J14" i="279"/>
  <c r="C15"/>
  <c r="E15" s="1"/>
  <c r="F14"/>
  <c r="I16" i="282"/>
  <c r="D6" i="262"/>
  <c r="H6" s="1"/>
  <c r="C6"/>
  <c r="C16" i="281"/>
  <c r="F15"/>
  <c r="C15" i="280"/>
  <c r="D15" s="1"/>
  <c r="J15" s="1"/>
  <c r="F14"/>
  <c r="E7" i="277"/>
  <c r="I7" s="1"/>
  <c r="E6" i="273"/>
  <c r="I6" s="1"/>
  <c r="E19" i="287" l="1"/>
  <c r="I19" s="1"/>
  <c r="D19"/>
  <c r="D16" i="281"/>
  <c r="J16" s="1"/>
  <c r="E16"/>
  <c r="D19" i="285"/>
  <c r="E19"/>
  <c r="I19" s="1"/>
  <c r="D15" i="279"/>
  <c r="I15"/>
  <c r="C20" i="283"/>
  <c r="E20" s="1"/>
  <c r="F19"/>
  <c r="F16" i="282"/>
  <c r="C17"/>
  <c r="E17" s="1"/>
  <c r="B7" i="262"/>
  <c r="E6"/>
  <c r="I16" i="281"/>
  <c r="E15" i="280"/>
  <c r="I15" s="1"/>
  <c r="C9" i="277"/>
  <c r="D9" s="1"/>
  <c r="J9" s="1"/>
  <c r="F7"/>
  <c r="C7" i="273"/>
  <c r="D7" s="1"/>
  <c r="J7" s="1"/>
  <c r="F6"/>
  <c r="F19" i="287" l="1"/>
  <c r="C20"/>
  <c r="F19" i="285"/>
  <c r="C20"/>
  <c r="D20" i="283"/>
  <c r="I20"/>
  <c r="J15" i="279"/>
  <c r="C16"/>
  <c r="E16" s="1"/>
  <c r="F15"/>
  <c r="I17" i="282"/>
  <c r="D7" i="262"/>
  <c r="H7" s="1"/>
  <c r="C7"/>
  <c r="C17" i="281"/>
  <c r="F16"/>
  <c r="C16" i="280"/>
  <c r="F15"/>
  <c r="E9" i="277"/>
  <c r="I9" s="1"/>
  <c r="E7" i="273"/>
  <c r="I7" s="1"/>
  <c r="D20" i="287" l="1"/>
  <c r="E20"/>
  <c r="I20" s="1"/>
  <c r="E17" i="281"/>
  <c r="D17"/>
  <c r="H17" s="1"/>
  <c r="E20" i="285"/>
  <c r="I20" s="1"/>
  <c r="D20"/>
  <c r="D16" i="279"/>
  <c r="I16"/>
  <c r="C21" i="283"/>
  <c r="E21" s="1"/>
  <c r="F20"/>
  <c r="E16" i="280"/>
  <c r="D16"/>
  <c r="F17" i="282"/>
  <c r="H17"/>
  <c r="B9" i="262"/>
  <c r="E7"/>
  <c r="I17" i="281"/>
  <c r="I16" i="280"/>
  <c r="C10" i="277"/>
  <c r="D10" s="1"/>
  <c r="J10" s="1"/>
  <c r="F9"/>
  <c r="F7" i="273"/>
  <c r="C9"/>
  <c r="D9" s="1"/>
  <c r="J9" s="1"/>
  <c r="C21" i="287" l="1"/>
  <c r="F20"/>
  <c r="F20" i="285"/>
  <c r="C21"/>
  <c r="D21" i="283"/>
  <c r="I21"/>
  <c r="J16" i="279"/>
  <c r="F16"/>
  <c r="C17"/>
  <c r="E17" s="1"/>
  <c r="C19" i="282"/>
  <c r="F120" i="262"/>
  <c r="D9"/>
  <c r="H9" s="1"/>
  <c r="C9"/>
  <c r="F17" i="281"/>
  <c r="C17" i="280"/>
  <c r="E17" s="1"/>
  <c r="F16"/>
  <c r="E10" i="277"/>
  <c r="I10" s="1"/>
  <c r="E9" i="273"/>
  <c r="I9" s="1"/>
  <c r="D21" i="287" l="1"/>
  <c r="E21"/>
  <c r="I21" s="1"/>
  <c r="D21" i="285"/>
  <c r="E21"/>
  <c r="I21" s="1"/>
  <c r="D17" i="279"/>
  <c r="I17"/>
  <c r="E19" i="282"/>
  <c r="I19" s="1"/>
  <c r="F21" i="283"/>
  <c r="C22"/>
  <c r="E22" s="1"/>
  <c r="C19" i="281"/>
  <c r="F118" i="262"/>
  <c r="C20" i="282"/>
  <c r="E20" s="1"/>
  <c r="F19"/>
  <c r="B10" i="262"/>
  <c r="E9"/>
  <c r="I17" i="280"/>
  <c r="C11" i="277"/>
  <c r="D11" s="1"/>
  <c r="J11" s="1"/>
  <c r="F10"/>
  <c r="C10" i="273"/>
  <c r="D10" s="1"/>
  <c r="J10" s="1"/>
  <c r="F9"/>
  <c r="C22" i="287" l="1"/>
  <c r="F21"/>
  <c r="D19" i="281"/>
  <c r="J19" s="1"/>
  <c r="J17"/>
  <c r="F21" i="285"/>
  <c r="C22"/>
  <c r="D22" i="283"/>
  <c r="J17" i="279"/>
  <c r="F17"/>
  <c r="C19"/>
  <c r="E19" s="1"/>
  <c r="I22" i="283"/>
  <c r="E19" i="281"/>
  <c r="I19" s="1"/>
  <c r="I20" i="282"/>
  <c r="D10" i="262"/>
  <c r="H10" s="1"/>
  <c r="C10"/>
  <c r="F17" i="280"/>
  <c r="H17"/>
  <c r="C19" s="1"/>
  <c r="E19" s="1"/>
  <c r="E11" i="277"/>
  <c r="I11" s="1"/>
  <c r="E10" i="273"/>
  <c r="I10" s="1"/>
  <c r="D22" i="287" l="1"/>
  <c r="E22"/>
  <c r="I22" s="1"/>
  <c r="C20" i="281"/>
  <c r="D20" s="1"/>
  <c r="J20" s="1"/>
  <c r="E22" i="285"/>
  <c r="I22" s="1"/>
  <c r="D22"/>
  <c r="I19" i="279"/>
  <c r="D19"/>
  <c r="C24" i="283"/>
  <c r="E24" s="1"/>
  <c r="F22"/>
  <c r="F19" i="281"/>
  <c r="C21" i="282"/>
  <c r="F20"/>
  <c r="B11" i="262"/>
  <c r="E10"/>
  <c r="I19" i="280"/>
  <c r="C12" i="277"/>
  <c r="D12" s="1"/>
  <c r="J12" s="1"/>
  <c r="F11"/>
  <c r="C11" i="273"/>
  <c r="D11" s="1"/>
  <c r="J11" s="1"/>
  <c r="F10"/>
  <c r="C24" i="287" l="1"/>
  <c r="F22"/>
  <c r="E20" i="281"/>
  <c r="I20" s="1"/>
  <c r="F22" i="285"/>
  <c r="C24"/>
  <c r="E21" i="282"/>
  <c r="I21" s="1"/>
  <c r="I24" i="283"/>
  <c r="D24"/>
  <c r="J19" i="279"/>
  <c r="C20"/>
  <c r="E20" s="1"/>
  <c r="F19"/>
  <c r="D11" i="262"/>
  <c r="H11" s="1"/>
  <c r="C11"/>
  <c r="C21" i="281"/>
  <c r="D21" s="1"/>
  <c r="J21" s="1"/>
  <c r="C20" i="280"/>
  <c r="F19"/>
  <c r="E12" i="277"/>
  <c r="I12" s="1"/>
  <c r="E11" i="273"/>
  <c r="I11" s="1"/>
  <c r="D24" i="287" l="1"/>
  <c r="E24"/>
  <c r="I24" s="1"/>
  <c r="F20" i="281"/>
  <c r="E20" i="280"/>
  <c r="D20"/>
  <c r="J20" s="1"/>
  <c r="D24" i="285"/>
  <c r="E24"/>
  <c r="I24" s="1"/>
  <c r="D20" i="279"/>
  <c r="I20"/>
  <c r="C25" i="283"/>
  <c r="E25" s="1"/>
  <c r="F24"/>
  <c r="E21" i="281"/>
  <c r="I21" s="1"/>
  <c r="C22" i="282"/>
  <c r="F21"/>
  <c r="E11" i="262"/>
  <c r="B12"/>
  <c r="I20" i="280"/>
  <c r="C14" i="277"/>
  <c r="D14" s="1"/>
  <c r="J14" s="1"/>
  <c r="F12"/>
  <c r="C12" i="273"/>
  <c r="D12" s="1"/>
  <c r="J12" s="1"/>
  <c r="F11"/>
  <c r="F24" i="287" l="1"/>
  <c r="C25"/>
  <c r="F24" i="285"/>
  <c r="C25"/>
  <c r="I22" i="282"/>
  <c r="D25" i="283"/>
  <c r="I25"/>
  <c r="J20" i="279"/>
  <c r="C21"/>
  <c r="E21" s="1"/>
  <c r="F20"/>
  <c r="D12" i="262"/>
  <c r="H12" s="1"/>
  <c r="C12"/>
  <c r="F21" i="281"/>
  <c r="C22"/>
  <c r="D22" s="1"/>
  <c r="J22" s="1"/>
  <c r="F20" i="280"/>
  <c r="C21"/>
  <c r="E14" i="277"/>
  <c r="I14" s="1"/>
  <c r="E12" i="273"/>
  <c r="I12" s="1"/>
  <c r="D25" i="287" l="1"/>
  <c r="E25"/>
  <c r="I25" s="1"/>
  <c r="E21" i="280"/>
  <c r="D21"/>
  <c r="J21" s="1"/>
  <c r="E25" i="285"/>
  <c r="I25" s="1"/>
  <c r="D25"/>
  <c r="D21" i="279"/>
  <c r="I21"/>
  <c r="E22" i="281"/>
  <c r="I22" s="1"/>
  <c r="C26" i="283"/>
  <c r="E26" s="1"/>
  <c r="F25"/>
  <c r="C24" i="282"/>
  <c r="E24" s="1"/>
  <c r="F22"/>
  <c r="E12" i="262"/>
  <c r="B14"/>
  <c r="I21" i="280"/>
  <c r="C15" i="277"/>
  <c r="D15" s="1"/>
  <c r="J15" s="1"/>
  <c r="F14"/>
  <c r="C14" i="273"/>
  <c r="D14" s="1"/>
  <c r="J14" s="1"/>
  <c r="F12"/>
  <c r="C26" i="287" l="1"/>
  <c r="F25"/>
  <c r="F25" i="285"/>
  <c r="C26"/>
  <c r="I24" i="282"/>
  <c r="D26" i="283"/>
  <c r="I26"/>
  <c r="J21" i="279"/>
  <c r="F21"/>
  <c r="C22"/>
  <c r="E22" s="1"/>
  <c r="D14" i="262"/>
  <c r="H14" s="1"/>
  <c r="C14"/>
  <c r="C24" i="281"/>
  <c r="D24" s="1"/>
  <c r="J24" s="1"/>
  <c r="F22"/>
  <c r="C22" i="280"/>
  <c r="F21"/>
  <c r="E15" i="277"/>
  <c r="I15" s="1"/>
  <c r="E14" i="273"/>
  <c r="I14" s="1"/>
  <c r="E26" i="287" l="1"/>
  <c r="I26" s="1"/>
  <c r="D26"/>
  <c r="E22" i="280"/>
  <c r="D22"/>
  <c r="J22" s="1"/>
  <c r="E26" i="285"/>
  <c r="I26" s="1"/>
  <c r="D26"/>
  <c r="E24" i="281"/>
  <c r="I24" s="1"/>
  <c r="D22" i="279"/>
  <c r="I22"/>
  <c r="F26" i="283"/>
  <c r="C27"/>
  <c r="E27" s="1"/>
  <c r="C25" i="282"/>
  <c r="E25" s="1"/>
  <c r="F24"/>
  <c r="E14" i="262"/>
  <c r="B15"/>
  <c r="I22" i="280"/>
  <c r="C16" i="277"/>
  <c r="D16" s="1"/>
  <c r="J16" s="1"/>
  <c r="F15"/>
  <c r="F14" i="273"/>
  <c r="C15"/>
  <c r="D15" s="1"/>
  <c r="J15" s="1"/>
  <c r="F26" i="287" l="1"/>
  <c r="C27"/>
  <c r="F26" i="285"/>
  <c r="C27"/>
  <c r="D27" i="283"/>
  <c r="I27"/>
  <c r="I25" i="282"/>
  <c r="J22" i="279"/>
  <c r="C24"/>
  <c r="E24" s="1"/>
  <c r="F22"/>
  <c r="C16" i="273"/>
  <c r="D16" s="1"/>
  <c r="J16" s="1"/>
  <c r="D15" i="262"/>
  <c r="H15" s="1"/>
  <c r="C15"/>
  <c r="C25" i="281"/>
  <c r="D25" s="1"/>
  <c r="J25" s="1"/>
  <c r="F24"/>
  <c r="C24" i="280"/>
  <c r="F22"/>
  <c r="E16" i="277"/>
  <c r="I16" s="1"/>
  <c r="E15" i="273"/>
  <c r="I15" s="1"/>
  <c r="D27" i="287" l="1"/>
  <c r="E27"/>
  <c r="I27" s="1"/>
  <c r="E24" i="280"/>
  <c r="D24"/>
  <c r="J24" s="1"/>
  <c r="D27" i="285"/>
  <c r="E27"/>
  <c r="I27" s="1"/>
  <c r="E25" i="281"/>
  <c r="I25" s="1"/>
  <c r="I24" i="279"/>
  <c r="D24"/>
  <c r="C29" i="283"/>
  <c r="E29" s="1"/>
  <c r="F27"/>
  <c r="C26" i="282"/>
  <c r="E26" s="1"/>
  <c r="F25"/>
  <c r="B16" i="262"/>
  <c r="E15"/>
  <c r="I24" i="280"/>
  <c r="C17" i="277"/>
  <c r="D17" s="1"/>
  <c r="F16"/>
  <c r="F15" i="273"/>
  <c r="C29" i="287" l="1"/>
  <c r="F27"/>
  <c r="H17" i="277"/>
  <c r="F27" i="285"/>
  <c r="C29"/>
  <c r="I29" i="283"/>
  <c r="D29"/>
  <c r="J24" i="279"/>
  <c r="C25"/>
  <c r="E25" s="1"/>
  <c r="F24"/>
  <c r="I26" i="282"/>
  <c r="C16" i="262"/>
  <c r="D16"/>
  <c r="H16" s="1"/>
  <c r="C26" i="281"/>
  <c r="F25"/>
  <c r="C25" i="280"/>
  <c r="F24"/>
  <c r="E17" i="277"/>
  <c r="I17" s="1"/>
  <c r="E16" i="273"/>
  <c r="I16" s="1"/>
  <c r="D29" i="287" l="1"/>
  <c r="E29"/>
  <c r="I29" s="1"/>
  <c r="E26" i="281"/>
  <c r="I26" s="1"/>
  <c r="D26"/>
  <c r="J26" s="1"/>
  <c r="E25" i="280"/>
  <c r="D25"/>
  <c r="J25" s="1"/>
  <c r="D29" i="285"/>
  <c r="E29"/>
  <c r="I29" s="1"/>
  <c r="D25" i="279"/>
  <c r="I25"/>
  <c r="C30" i="283"/>
  <c r="E30" s="1"/>
  <c r="F29"/>
  <c r="C27" i="282"/>
  <c r="E27" s="1"/>
  <c r="F26"/>
  <c r="E16" i="262"/>
  <c r="B17"/>
  <c r="I25" i="280"/>
  <c r="F17" i="277"/>
  <c r="C19"/>
  <c r="F16" i="273"/>
  <c r="C17"/>
  <c r="D17" s="1"/>
  <c r="F29" i="287" l="1"/>
  <c r="C30"/>
  <c r="D19" i="277"/>
  <c r="J19" s="1"/>
  <c r="J17"/>
  <c r="F29" i="285"/>
  <c r="C30"/>
  <c r="D30" i="283"/>
  <c r="I30"/>
  <c r="I27" i="282"/>
  <c r="J25" i="279"/>
  <c r="F25"/>
  <c r="C26"/>
  <c r="E26" s="1"/>
  <c r="H17" i="273"/>
  <c r="F108" i="262" s="1"/>
  <c r="D17"/>
  <c r="H17" s="1"/>
  <c r="C17"/>
  <c r="C27" i="281"/>
  <c r="F26"/>
  <c r="C26" i="280"/>
  <c r="F25"/>
  <c r="E19" i="277"/>
  <c r="I19" s="1"/>
  <c r="E17" i="273"/>
  <c r="I17" s="1"/>
  <c r="D30" i="287" l="1"/>
  <c r="E30"/>
  <c r="I30" s="1"/>
  <c r="E27" i="281"/>
  <c r="I27" s="1"/>
  <c r="D27"/>
  <c r="J27" s="1"/>
  <c r="E26" i="280"/>
  <c r="D26"/>
  <c r="J26" s="1"/>
  <c r="E30" i="285"/>
  <c r="I30" s="1"/>
  <c r="D30"/>
  <c r="D26" i="279"/>
  <c r="I26"/>
  <c r="C31" i="283"/>
  <c r="E31" s="1"/>
  <c r="F30"/>
  <c r="C29" i="282"/>
  <c r="E29" s="1"/>
  <c r="F27"/>
  <c r="E17" i="262"/>
  <c r="B19"/>
  <c r="I26" i="280"/>
  <c r="C20" i="277"/>
  <c r="D20" s="1"/>
  <c r="J20" s="1"/>
  <c r="F19"/>
  <c r="F17" i="273"/>
  <c r="C19"/>
  <c r="D19" s="1"/>
  <c r="J19" s="1"/>
  <c r="C31" i="287" l="1"/>
  <c r="F30"/>
  <c r="F30" i="285"/>
  <c r="C31"/>
  <c r="D31" i="283"/>
  <c r="I31"/>
  <c r="I29" i="282"/>
  <c r="J26" i="279"/>
  <c r="C27"/>
  <c r="E27" s="1"/>
  <c r="F26"/>
  <c r="C19" i="262"/>
  <c r="D19"/>
  <c r="H19" s="1"/>
  <c r="C29" i="281"/>
  <c r="F27"/>
  <c r="C27" i="280"/>
  <c r="F26"/>
  <c r="E20" i="277"/>
  <c r="I20" s="1"/>
  <c r="E19" i="273"/>
  <c r="I19" s="1"/>
  <c r="E31" i="287" l="1"/>
  <c r="I31" s="1"/>
  <c r="D31"/>
  <c r="E29" i="281"/>
  <c r="I29" s="1"/>
  <c r="D29"/>
  <c r="J29" s="1"/>
  <c r="E27" i="280"/>
  <c r="D27"/>
  <c r="J27" s="1"/>
  <c r="D31" i="285"/>
  <c r="E31"/>
  <c r="I31" s="1"/>
  <c r="D27" i="279"/>
  <c r="I27"/>
  <c r="F31" i="283"/>
  <c r="C32"/>
  <c r="E32" s="1"/>
  <c r="C30" i="282"/>
  <c r="E30" s="1"/>
  <c r="F29"/>
  <c r="E19" i="262"/>
  <c r="B20"/>
  <c r="I27" i="280"/>
  <c r="C21" i="277"/>
  <c r="F20"/>
  <c r="F19" i="273"/>
  <c r="C20"/>
  <c r="D20" s="1"/>
  <c r="F31" i="287" l="1"/>
  <c r="C32"/>
  <c r="F31" i="285"/>
  <c r="C32"/>
  <c r="D32" i="283"/>
  <c r="I32"/>
  <c r="I30" i="282"/>
  <c r="J27" i="279"/>
  <c r="C29"/>
  <c r="E29" s="1"/>
  <c r="F27"/>
  <c r="E21" i="277"/>
  <c r="D21"/>
  <c r="J21" s="1"/>
  <c r="D20" i="262"/>
  <c r="H20" s="1"/>
  <c r="C20"/>
  <c r="C30" i="281"/>
  <c r="F29"/>
  <c r="C29" i="280"/>
  <c r="F27"/>
  <c r="I21" i="277"/>
  <c r="E20" i="273"/>
  <c r="I20" s="1"/>
  <c r="D32" i="287" l="1"/>
  <c r="E32"/>
  <c r="I32" s="1"/>
  <c r="E30" i="281"/>
  <c r="I30" s="1"/>
  <c r="D30"/>
  <c r="J30" s="1"/>
  <c r="E29" i="280"/>
  <c r="I29" s="1"/>
  <c r="D29"/>
  <c r="J29" s="1"/>
  <c r="D32" i="285"/>
  <c r="E32"/>
  <c r="I32" s="1"/>
  <c r="I29" i="279"/>
  <c r="D29"/>
  <c r="F32" i="283"/>
  <c r="H32"/>
  <c r="C34" s="1"/>
  <c r="E34" s="1"/>
  <c r="C31" i="282"/>
  <c r="E31" s="1"/>
  <c r="F30"/>
  <c r="E20" i="262"/>
  <c r="B21"/>
  <c r="C22" i="277"/>
  <c r="F21"/>
  <c r="F20" i="273"/>
  <c r="C21"/>
  <c r="F32" i="287" l="1"/>
  <c r="H32"/>
  <c r="C34" s="1"/>
  <c r="F32" i="285"/>
  <c r="H32"/>
  <c r="C34" s="1"/>
  <c r="I34" i="283"/>
  <c r="D34"/>
  <c r="I31" i="282"/>
  <c r="J29" i="279"/>
  <c r="C30"/>
  <c r="E30" s="1"/>
  <c r="F29"/>
  <c r="E22" i="277"/>
  <c r="I22" s="1"/>
  <c r="D22"/>
  <c r="J22" s="1"/>
  <c r="E21" i="273"/>
  <c r="F21" s="1"/>
  <c r="C21" i="262"/>
  <c r="D21"/>
  <c r="H21" s="1"/>
  <c r="C31" i="281"/>
  <c r="F30"/>
  <c r="C30" i="280"/>
  <c r="F29"/>
  <c r="E34" i="287" l="1"/>
  <c r="I34" s="1"/>
  <c r="D34"/>
  <c r="E31" i="281"/>
  <c r="I31" s="1"/>
  <c r="D31"/>
  <c r="J31" s="1"/>
  <c r="E30" i="280"/>
  <c r="I30" s="1"/>
  <c r="D30"/>
  <c r="J30" s="1"/>
  <c r="D34" i="285"/>
  <c r="E34"/>
  <c r="I34" s="1"/>
  <c r="D30" i="279"/>
  <c r="I30"/>
  <c r="C35" i="283"/>
  <c r="E35" s="1"/>
  <c r="F34"/>
  <c r="I21" i="273"/>
  <c r="E32" i="282"/>
  <c r="F31"/>
  <c r="E21" i="262"/>
  <c r="B22"/>
  <c r="C24" i="277"/>
  <c r="F22"/>
  <c r="C22" i="273"/>
  <c r="E22" s="1"/>
  <c r="C35" i="287" l="1"/>
  <c r="F34"/>
  <c r="E24" i="277"/>
  <c r="D24"/>
  <c r="J24" s="1"/>
  <c r="F34" i="285"/>
  <c r="C35"/>
  <c r="D35" i="283"/>
  <c r="I35"/>
  <c r="I32" i="282"/>
  <c r="J30" i="279"/>
  <c r="C31"/>
  <c r="E31" s="1"/>
  <c r="F30"/>
  <c r="D22" i="262"/>
  <c r="H22" s="1"/>
  <c r="C22"/>
  <c r="C32" i="281"/>
  <c r="F31"/>
  <c r="C31" i="280"/>
  <c r="D31" s="1"/>
  <c r="J31" s="1"/>
  <c r="F30"/>
  <c r="I24" i="277"/>
  <c r="I22" i="273"/>
  <c r="D35" i="287" l="1"/>
  <c r="E35"/>
  <c r="I35" s="1"/>
  <c r="E32" i="281"/>
  <c r="I32" s="1"/>
  <c r="D32"/>
  <c r="E35" i="285"/>
  <c r="I35" s="1"/>
  <c r="D35"/>
  <c r="E31" i="280"/>
  <c r="I31" s="1"/>
  <c r="D31" i="279"/>
  <c r="I31"/>
  <c r="C36" i="283"/>
  <c r="E36" s="1"/>
  <c r="F35"/>
  <c r="H32" i="282"/>
  <c r="C34" s="1"/>
  <c r="E34" s="1"/>
  <c r="F32"/>
  <c r="E22" i="262"/>
  <c r="B24"/>
  <c r="C25" i="277"/>
  <c r="F24"/>
  <c r="F22" i="273"/>
  <c r="C24"/>
  <c r="E24" s="1"/>
  <c r="C36" i="287" l="1"/>
  <c r="F35"/>
  <c r="H32" i="281"/>
  <c r="F133" i="262" s="1"/>
  <c r="J32" i="281"/>
  <c r="E25" i="277"/>
  <c r="D25"/>
  <c r="J25" s="1"/>
  <c r="F35" i="285"/>
  <c r="C36"/>
  <c r="D36" i="283"/>
  <c r="I36"/>
  <c r="D34" i="282"/>
  <c r="I34"/>
  <c r="J31" i="279"/>
  <c r="C32"/>
  <c r="E32" s="1"/>
  <c r="F31"/>
  <c r="D24" i="262"/>
  <c r="H24" s="1"/>
  <c r="C24"/>
  <c r="F32" i="281"/>
  <c r="C32" i="280"/>
  <c r="F31"/>
  <c r="I25" i="277"/>
  <c r="I24" i="273"/>
  <c r="E36" i="287" l="1"/>
  <c r="I36" s="1"/>
  <c r="D36"/>
  <c r="C34" i="281"/>
  <c r="E32" i="280"/>
  <c r="I32" s="1"/>
  <c r="D32"/>
  <c r="D36" i="285"/>
  <c r="E36"/>
  <c r="I36" s="1"/>
  <c r="D32" i="279"/>
  <c r="I32"/>
  <c r="C37" i="283"/>
  <c r="E37" s="1"/>
  <c r="F36"/>
  <c r="F34" i="282"/>
  <c r="C35"/>
  <c r="E35" s="1"/>
  <c r="E24" i="262"/>
  <c r="B25"/>
  <c r="C26" i="277"/>
  <c r="F25"/>
  <c r="F24" i="273"/>
  <c r="C25"/>
  <c r="E25" s="1"/>
  <c r="C37" i="287" l="1"/>
  <c r="F36"/>
  <c r="E34" i="281"/>
  <c r="I34" s="1"/>
  <c r="D34"/>
  <c r="E26" i="277"/>
  <c r="D26"/>
  <c r="J26" s="1"/>
  <c r="F36" i="285"/>
  <c r="C37"/>
  <c r="D37" i="283"/>
  <c r="I37"/>
  <c r="D35" i="282"/>
  <c r="I35"/>
  <c r="J32" i="279"/>
  <c r="C34"/>
  <c r="E34" s="1"/>
  <c r="F32"/>
  <c r="D25" i="262"/>
  <c r="H25" s="1"/>
  <c r="C25"/>
  <c r="F32" i="280"/>
  <c r="H32"/>
  <c r="I26" i="277"/>
  <c r="I25" i="273"/>
  <c r="D37" i="287" l="1"/>
  <c r="E37"/>
  <c r="I37" s="1"/>
  <c r="C35" i="281"/>
  <c r="E35" s="1"/>
  <c r="I35" s="1"/>
  <c r="F34"/>
  <c r="D37" i="285"/>
  <c r="E37"/>
  <c r="I37" s="1"/>
  <c r="C34" i="280"/>
  <c r="D34" s="1"/>
  <c r="J34" s="1"/>
  <c r="F125" i="262"/>
  <c r="D34" i="279"/>
  <c r="I34"/>
  <c r="C39" i="283"/>
  <c r="E39" s="1"/>
  <c r="F37"/>
  <c r="F35" i="282"/>
  <c r="C36"/>
  <c r="E36" s="1"/>
  <c r="E25" i="262"/>
  <c r="B26"/>
  <c r="C27" i="277"/>
  <c r="F26"/>
  <c r="F25" i="273"/>
  <c r="C26"/>
  <c r="E26" s="1"/>
  <c r="F37" i="287" l="1"/>
  <c r="C39"/>
  <c r="F35" i="281"/>
  <c r="D27" i="277"/>
  <c r="J27" s="1"/>
  <c r="E27"/>
  <c r="I27" s="1"/>
  <c r="F37" i="285"/>
  <c r="C39"/>
  <c r="E34" i="280"/>
  <c r="I34" s="1"/>
  <c r="J32"/>
  <c r="I39" i="283"/>
  <c r="D39"/>
  <c r="D36" i="282"/>
  <c r="I36"/>
  <c r="J34" i="279"/>
  <c r="C35"/>
  <c r="E35" s="1"/>
  <c r="F34"/>
  <c r="D26" i="262"/>
  <c r="H26" s="1"/>
  <c r="C26"/>
  <c r="C35" i="280"/>
  <c r="I26" i="273"/>
  <c r="E39" i="287" l="1"/>
  <c r="I39" s="1"/>
  <c r="D39"/>
  <c r="C36" i="281"/>
  <c r="E36" s="1"/>
  <c r="I36" s="1"/>
  <c r="E35" i="280"/>
  <c r="D35"/>
  <c r="J35" s="1"/>
  <c r="D39" i="285"/>
  <c r="E39"/>
  <c r="I39" s="1"/>
  <c r="F34" i="280"/>
  <c r="I35"/>
  <c r="D35" i="279"/>
  <c r="I35"/>
  <c r="C40" i="283"/>
  <c r="E40" s="1"/>
  <c r="F39"/>
  <c r="F36" i="282"/>
  <c r="C37"/>
  <c r="E37" s="1"/>
  <c r="B27" i="262"/>
  <c r="E26"/>
  <c r="C29" i="277"/>
  <c r="F27"/>
  <c r="F26" i="273"/>
  <c r="C27"/>
  <c r="D36" i="281" l="1"/>
  <c r="F36" s="1"/>
  <c r="C40" i="287"/>
  <c r="F39"/>
  <c r="E29" i="277"/>
  <c r="D29"/>
  <c r="J29" s="1"/>
  <c r="F39" i="285"/>
  <c r="C40"/>
  <c r="D40" i="283"/>
  <c r="I40"/>
  <c r="D37" i="282"/>
  <c r="I37"/>
  <c r="J35" i="279"/>
  <c r="C36"/>
  <c r="E36" s="1"/>
  <c r="F35"/>
  <c r="D27" i="262"/>
  <c r="H27" s="1"/>
  <c r="C27"/>
  <c r="C37" i="281"/>
  <c r="E37" s="1"/>
  <c r="C36" i="280"/>
  <c r="F35"/>
  <c r="I29" i="277"/>
  <c r="I27" i="273"/>
  <c r="D40" i="287" l="1"/>
  <c r="E40"/>
  <c r="I40" s="1"/>
  <c r="E36" i="280"/>
  <c r="D36"/>
  <c r="J36" s="1"/>
  <c r="E40" i="285"/>
  <c r="I40" s="1"/>
  <c r="D40"/>
  <c r="I37" i="281"/>
  <c r="D37"/>
  <c r="I36" i="280"/>
  <c r="I36" i="279"/>
  <c r="D36"/>
  <c r="F40" i="283"/>
  <c r="C41"/>
  <c r="E41" s="1"/>
  <c r="F37" i="282"/>
  <c r="C39"/>
  <c r="E39" s="1"/>
  <c r="B29" i="262"/>
  <c r="E27"/>
  <c r="C30" i="277"/>
  <c r="F29"/>
  <c r="C29" i="273"/>
  <c r="E29" s="1"/>
  <c r="F27"/>
  <c r="F40" i="287" l="1"/>
  <c r="C41"/>
  <c r="E30" i="277"/>
  <c r="I30" s="1"/>
  <c r="D30"/>
  <c r="J30" s="1"/>
  <c r="F40" i="285"/>
  <c r="C41"/>
  <c r="D41" i="283"/>
  <c r="I41"/>
  <c r="D39" i="282"/>
  <c r="I39"/>
  <c r="J36" i="279"/>
  <c r="C37"/>
  <c r="E37" s="1"/>
  <c r="F36"/>
  <c r="C29" i="262"/>
  <c r="D29"/>
  <c r="H29" s="1"/>
  <c r="C39" i="281"/>
  <c r="E39" s="1"/>
  <c r="F37"/>
  <c r="C37" i="280"/>
  <c r="F36"/>
  <c r="I29" i="273"/>
  <c r="E41" i="287" l="1"/>
  <c r="I41" s="1"/>
  <c r="D41"/>
  <c r="E37" i="280"/>
  <c r="D37"/>
  <c r="J37" s="1"/>
  <c r="D41" i="285"/>
  <c r="E41"/>
  <c r="I41" s="1"/>
  <c r="D39" i="281"/>
  <c r="I39"/>
  <c r="I37" i="280"/>
  <c r="D37" i="279"/>
  <c r="I37"/>
  <c r="C42" i="283"/>
  <c r="E42" s="1"/>
  <c r="F41"/>
  <c r="F39" i="282"/>
  <c r="C40"/>
  <c r="E40" s="1"/>
  <c r="B30" i="262"/>
  <c r="E29"/>
  <c r="C31" i="277"/>
  <c r="F30"/>
  <c r="F29" i="273"/>
  <c r="C30"/>
  <c r="E30" s="1"/>
  <c r="C42" i="287" l="1"/>
  <c r="F41"/>
  <c r="E31" i="277"/>
  <c r="I31" s="1"/>
  <c r="D31"/>
  <c r="J31" s="1"/>
  <c r="F41" i="285"/>
  <c r="C42"/>
  <c r="D42" i="283"/>
  <c r="I42"/>
  <c r="D40" i="282"/>
  <c r="I40"/>
  <c r="J37" i="279"/>
  <c r="C39"/>
  <c r="E39" s="1"/>
  <c r="F37"/>
  <c r="D30" i="262"/>
  <c r="H30" s="1"/>
  <c r="C30"/>
  <c r="C40" i="281"/>
  <c r="E40" s="1"/>
  <c r="F39"/>
  <c r="C39" i="280"/>
  <c r="F37"/>
  <c r="I30" i="273"/>
  <c r="D42" i="287" l="1"/>
  <c r="E42"/>
  <c r="I42" s="1"/>
  <c r="E39" i="280"/>
  <c r="D39"/>
  <c r="J39" s="1"/>
  <c r="E42" i="285"/>
  <c r="I42" s="1"/>
  <c r="D42"/>
  <c r="D40" i="281"/>
  <c r="I40"/>
  <c r="I39" i="280"/>
  <c r="D39" i="279"/>
  <c r="I39"/>
  <c r="F42" i="283"/>
  <c r="C44"/>
  <c r="E44" s="1"/>
  <c r="F40" i="282"/>
  <c r="C41"/>
  <c r="E41" s="1"/>
  <c r="B31" i="262"/>
  <c r="E30"/>
  <c r="C32" i="277"/>
  <c r="F31"/>
  <c r="F30" i="273"/>
  <c r="C31"/>
  <c r="E31" s="1"/>
  <c r="F42" i="287" l="1"/>
  <c r="C44"/>
  <c r="E32" i="277"/>
  <c r="D32"/>
  <c r="J32" s="1"/>
  <c r="F42" i="285"/>
  <c r="C44"/>
  <c r="I44" i="283"/>
  <c r="D44"/>
  <c r="D41" i="282"/>
  <c r="I41"/>
  <c r="J39" i="279"/>
  <c r="C40"/>
  <c r="E40" s="1"/>
  <c r="F39"/>
  <c r="C31" i="262"/>
  <c r="D31"/>
  <c r="H31" s="1"/>
  <c r="C41" i="281"/>
  <c r="E41" s="1"/>
  <c r="F40"/>
  <c r="C40" i="280"/>
  <c r="F39"/>
  <c r="I32" i="277"/>
  <c r="I31" i="273"/>
  <c r="E44" i="287" l="1"/>
  <c r="I44" s="1"/>
  <c r="D44"/>
  <c r="E40" i="280"/>
  <c r="I40" s="1"/>
  <c r="D40"/>
  <c r="J40" s="1"/>
  <c r="D44" i="285"/>
  <c r="E44"/>
  <c r="D41" i="281"/>
  <c r="I41"/>
  <c r="D40" i="279"/>
  <c r="I40"/>
  <c r="C45" i="283"/>
  <c r="E45" s="1"/>
  <c r="F44"/>
  <c r="F41" i="282"/>
  <c r="C42"/>
  <c r="E42" s="1"/>
  <c r="B32" i="262"/>
  <c r="E31"/>
  <c r="H32" i="277"/>
  <c r="F32"/>
  <c r="F31" i="273"/>
  <c r="C32"/>
  <c r="E32" s="1"/>
  <c r="C45" i="287" l="1"/>
  <c r="F44"/>
  <c r="C34" i="277"/>
  <c r="F121" i="262"/>
  <c r="F44" i="285"/>
  <c r="I44"/>
  <c r="C45"/>
  <c r="D45" i="283"/>
  <c r="I45"/>
  <c r="D42" i="282"/>
  <c r="I42"/>
  <c r="J40" i="279"/>
  <c r="C41"/>
  <c r="E41" s="1"/>
  <c r="F40"/>
  <c r="D32" i="262"/>
  <c r="H32" s="1"/>
  <c r="C32"/>
  <c r="C42" i="281"/>
  <c r="E42" s="1"/>
  <c r="F41"/>
  <c r="C41" i="280"/>
  <c r="F40"/>
  <c r="H32" i="273"/>
  <c r="I32"/>
  <c r="D45" i="287" l="1"/>
  <c r="E45"/>
  <c r="I45" s="1"/>
  <c r="E41" i="280"/>
  <c r="D41"/>
  <c r="J41" s="1"/>
  <c r="E34" i="277"/>
  <c r="I34" s="1"/>
  <c r="D34"/>
  <c r="J34" s="1"/>
  <c r="E45" i="285"/>
  <c r="I45" s="1"/>
  <c r="D45"/>
  <c r="D42" i="281"/>
  <c r="I42"/>
  <c r="I41" i="280"/>
  <c r="D41" i="279"/>
  <c r="I41"/>
  <c r="F45" i="283"/>
  <c r="C46"/>
  <c r="E46" s="1"/>
  <c r="F42" i="282"/>
  <c r="C44"/>
  <c r="E44" s="1"/>
  <c r="E32" i="262"/>
  <c r="B34"/>
  <c r="C35" i="277"/>
  <c r="D35" s="1"/>
  <c r="F32" i="273"/>
  <c r="C34"/>
  <c r="E34" s="1"/>
  <c r="C46" i="287" l="1"/>
  <c r="F45"/>
  <c r="F34" i="277"/>
  <c r="F45" i="285"/>
  <c r="C46"/>
  <c r="J35" i="277"/>
  <c r="E35"/>
  <c r="I35" s="1"/>
  <c r="D46" i="283"/>
  <c r="I46"/>
  <c r="D44" i="282"/>
  <c r="I44"/>
  <c r="J41" i="279"/>
  <c r="C42"/>
  <c r="E42" s="1"/>
  <c r="F41"/>
  <c r="C34" i="262"/>
  <c r="D34"/>
  <c r="H34" s="1"/>
  <c r="C44" i="281"/>
  <c r="E44" s="1"/>
  <c r="F42"/>
  <c r="C42" i="280"/>
  <c r="E42" s="1"/>
  <c r="F41"/>
  <c r="I34" i="273"/>
  <c r="D46" i="287" l="1"/>
  <c r="E46"/>
  <c r="I46" s="1"/>
  <c r="D46" i="285"/>
  <c r="E46"/>
  <c r="I46" s="1"/>
  <c r="D44" i="281"/>
  <c r="I44"/>
  <c r="I42" i="280"/>
  <c r="D42" i="279"/>
  <c r="I42"/>
  <c r="C47" i="283"/>
  <c r="E47" s="1"/>
  <c r="F46"/>
  <c r="F44" i="282"/>
  <c r="C45"/>
  <c r="E45" s="1"/>
  <c r="B35" i="262"/>
  <c r="E34"/>
  <c r="C36" i="277"/>
  <c r="D36" s="1"/>
  <c r="J36" s="1"/>
  <c r="F35"/>
  <c r="F34" i="273"/>
  <c r="C35"/>
  <c r="C47" i="287" l="1"/>
  <c r="F46"/>
  <c r="F46" i="285"/>
  <c r="C47"/>
  <c r="E35" i="273"/>
  <c r="I35" s="1"/>
  <c r="D47" i="283"/>
  <c r="I47"/>
  <c r="D45" i="282"/>
  <c r="I45"/>
  <c r="E36" i="277"/>
  <c r="I36" s="1"/>
  <c r="J42" i="279"/>
  <c r="C44"/>
  <c r="E44" s="1"/>
  <c r="F42"/>
  <c r="D35" i="262"/>
  <c r="H35" s="1"/>
  <c r="C35"/>
  <c r="C45" i="281"/>
  <c r="E45" s="1"/>
  <c r="F44"/>
  <c r="C44" i="280"/>
  <c r="E44" s="1"/>
  <c r="F42"/>
  <c r="D47" i="287" l="1"/>
  <c r="E47"/>
  <c r="I47" s="1"/>
  <c r="D47" i="285"/>
  <c r="E47"/>
  <c r="I47" s="1"/>
  <c r="I45" i="281"/>
  <c r="D45"/>
  <c r="D44" i="280"/>
  <c r="I44"/>
  <c r="D44" i="279"/>
  <c r="I44"/>
  <c r="F47" i="283"/>
  <c r="H47"/>
  <c r="C49" s="1"/>
  <c r="E49" s="1"/>
  <c r="F45" i="282"/>
  <c r="C46"/>
  <c r="E46" s="1"/>
  <c r="E35" i="262"/>
  <c r="B36"/>
  <c r="C37" i="277"/>
  <c r="F36"/>
  <c r="F35" i="273"/>
  <c r="C36"/>
  <c r="H47" i="287" l="1"/>
  <c r="C49" s="1"/>
  <c r="F47"/>
  <c r="E37" i="277"/>
  <c r="I37" s="1"/>
  <c r="D37"/>
  <c r="J37" s="1"/>
  <c r="F47" i="285"/>
  <c r="H47"/>
  <c r="C49" s="1"/>
  <c r="I49" i="283"/>
  <c r="D49"/>
  <c r="D46" i="282"/>
  <c r="I46"/>
  <c r="E36" i="273"/>
  <c r="I36" s="1"/>
  <c r="J44" i="279"/>
  <c r="F44"/>
  <c r="C45"/>
  <c r="E45" s="1"/>
  <c r="D36" i="262"/>
  <c r="H36" s="1"/>
  <c r="C36"/>
  <c r="C46" i="281"/>
  <c r="E46" s="1"/>
  <c r="F45"/>
  <c r="C45" i="280"/>
  <c r="E45" s="1"/>
  <c r="F44"/>
  <c r="D49" i="287" l="1"/>
  <c r="E49"/>
  <c r="I49" s="1"/>
  <c r="D49" i="285"/>
  <c r="E49"/>
  <c r="I49" s="1"/>
  <c r="D46" i="281"/>
  <c r="D45" i="280"/>
  <c r="I45"/>
  <c r="D45" i="279"/>
  <c r="I45"/>
  <c r="C50" i="283"/>
  <c r="E50" s="1"/>
  <c r="F49"/>
  <c r="F46" i="282"/>
  <c r="C47"/>
  <c r="E47" s="1"/>
  <c r="B37" i="262"/>
  <c r="E36"/>
  <c r="I46" i="281"/>
  <c r="C39" i="277"/>
  <c r="F37"/>
  <c r="F36" i="273"/>
  <c r="C37"/>
  <c r="E37" s="1"/>
  <c r="C50" i="287" l="1"/>
  <c r="F49"/>
  <c r="E39" i="277"/>
  <c r="D39"/>
  <c r="J39" s="1"/>
  <c r="F49" i="285"/>
  <c r="C50"/>
  <c r="D50" i="283"/>
  <c r="I50"/>
  <c r="D47" i="282"/>
  <c r="I47"/>
  <c r="I39" i="277"/>
  <c r="I37" i="273"/>
  <c r="J45" i="279"/>
  <c r="F45"/>
  <c r="C46"/>
  <c r="E46" s="1"/>
  <c r="D37" i="262"/>
  <c r="H37" s="1"/>
  <c r="C37"/>
  <c r="C47" i="281"/>
  <c r="E47" s="1"/>
  <c r="F46"/>
  <c r="C46" i="280"/>
  <c r="E46" s="1"/>
  <c r="F45"/>
  <c r="E50" i="287" l="1"/>
  <c r="I50" s="1"/>
  <c r="D50"/>
  <c r="E50" i="285"/>
  <c r="I50" s="1"/>
  <c r="D50"/>
  <c r="D47" i="281"/>
  <c r="D46" i="280"/>
  <c r="I46"/>
  <c r="D46" i="279"/>
  <c r="I46"/>
  <c r="C51" i="283"/>
  <c r="E51" s="1"/>
  <c r="F50"/>
  <c r="F47" i="282"/>
  <c r="H47"/>
  <c r="C49" s="1"/>
  <c r="E49" s="1"/>
  <c r="B39" i="262"/>
  <c r="E37"/>
  <c r="I47" i="281"/>
  <c r="C40" i="277"/>
  <c r="F39"/>
  <c r="C39" i="273"/>
  <c r="F37"/>
  <c r="C51" i="287" l="1"/>
  <c r="F50"/>
  <c r="E40" i="277"/>
  <c r="I40" s="1"/>
  <c r="D40"/>
  <c r="J40" s="1"/>
  <c r="E39" i="273"/>
  <c r="I39" s="1"/>
  <c r="D39"/>
  <c r="J39" s="1"/>
  <c r="F50" i="285"/>
  <c r="C51"/>
  <c r="D51" i="283"/>
  <c r="I51"/>
  <c r="D49" i="282"/>
  <c r="I49"/>
  <c r="J46" i="279"/>
  <c r="C47"/>
  <c r="E47" s="1"/>
  <c r="F46"/>
  <c r="D39" i="262"/>
  <c r="H39" s="1"/>
  <c r="C39"/>
  <c r="F47" i="281"/>
  <c r="C49"/>
  <c r="E49" s="1"/>
  <c r="C47" i="280"/>
  <c r="E47" s="1"/>
  <c r="F46"/>
  <c r="D51" i="287" l="1"/>
  <c r="E51"/>
  <c r="I51" s="1"/>
  <c r="D51" i="285"/>
  <c r="E51"/>
  <c r="I51" s="1"/>
  <c r="D49" i="281"/>
  <c r="D47" i="280"/>
  <c r="I47"/>
  <c r="I47" i="279"/>
  <c r="D47"/>
  <c r="C52" i="283"/>
  <c r="E52" s="1"/>
  <c r="F51"/>
  <c r="C50" i="282"/>
  <c r="E50" s="1"/>
  <c r="F49"/>
  <c r="E39" i="262"/>
  <c r="B40"/>
  <c r="I49" i="281"/>
  <c r="C41" i="277"/>
  <c r="F40"/>
  <c r="F39" i="273"/>
  <c r="C40"/>
  <c r="C52" i="287" l="1"/>
  <c r="F51"/>
  <c r="E41" i="277"/>
  <c r="D41"/>
  <c r="J41" s="1"/>
  <c r="E40" i="273"/>
  <c r="D40"/>
  <c r="J40" s="1"/>
  <c r="F51" i="285"/>
  <c r="C52"/>
  <c r="D52" i="283"/>
  <c r="I52"/>
  <c r="D50" i="282"/>
  <c r="I50"/>
  <c r="I41" i="277"/>
  <c r="I40" i="273"/>
  <c r="J47" i="279"/>
  <c r="C49"/>
  <c r="E49" s="1"/>
  <c r="F47"/>
  <c r="D40" i="262"/>
  <c r="H40" s="1"/>
  <c r="C40"/>
  <c r="C50" i="281"/>
  <c r="E50" s="1"/>
  <c r="F49"/>
  <c r="C49" i="280"/>
  <c r="E49" s="1"/>
  <c r="F47"/>
  <c r="E52" i="287" l="1"/>
  <c r="I52" s="1"/>
  <c r="D52"/>
  <c r="E52" i="285"/>
  <c r="I52" s="1"/>
  <c r="D52"/>
  <c r="I50" i="281"/>
  <c r="D50"/>
  <c r="D49" i="280"/>
  <c r="I49"/>
  <c r="I49" i="279"/>
  <c r="D49"/>
  <c r="C54" i="283"/>
  <c r="E54" s="1"/>
  <c r="F52"/>
  <c r="C51" i="282"/>
  <c r="E51" s="1"/>
  <c r="F50"/>
  <c r="E40" i="262"/>
  <c r="B41"/>
  <c r="C42" i="277"/>
  <c r="F41"/>
  <c r="F40" i="273"/>
  <c r="C41"/>
  <c r="C54" i="287" l="1"/>
  <c r="F52"/>
  <c r="E41" i="273"/>
  <c r="D41"/>
  <c r="J41" s="1"/>
  <c r="F52" i="285"/>
  <c r="C54"/>
  <c r="E42" i="277"/>
  <c r="I42" s="1"/>
  <c r="D42"/>
  <c r="J42" s="1"/>
  <c r="I54" i="283"/>
  <c r="D54"/>
  <c r="D51" i="282"/>
  <c r="I51"/>
  <c r="I41" i="273"/>
  <c r="J49" i="279"/>
  <c r="C50"/>
  <c r="E50" s="1"/>
  <c r="F49"/>
  <c r="D41" i="262"/>
  <c r="H41" s="1"/>
  <c r="C41"/>
  <c r="C51" i="281"/>
  <c r="E51" s="1"/>
  <c r="F50"/>
  <c r="C50" i="280"/>
  <c r="E50" s="1"/>
  <c r="F49"/>
  <c r="D54" i="287" l="1"/>
  <c r="E54"/>
  <c r="I54" s="1"/>
  <c r="D54" i="285"/>
  <c r="E54"/>
  <c r="D51" i="281"/>
  <c r="D50" i="280"/>
  <c r="I50"/>
  <c r="D50" i="279"/>
  <c r="I50"/>
  <c r="C55" i="283"/>
  <c r="E55" s="1"/>
  <c r="F54"/>
  <c r="C52" i="282"/>
  <c r="E52" s="1"/>
  <c r="F51"/>
  <c r="B42" i="262"/>
  <c r="E41"/>
  <c r="I51" i="281"/>
  <c r="C44" i="277"/>
  <c r="F42"/>
  <c r="F41" i="273"/>
  <c r="C42"/>
  <c r="C55" i="287" l="1"/>
  <c r="F54"/>
  <c r="E44" i="277"/>
  <c r="I44" s="1"/>
  <c r="D44"/>
  <c r="J44" s="1"/>
  <c r="E42" i="273"/>
  <c r="I42" s="1"/>
  <c r="D42"/>
  <c r="J42" s="1"/>
  <c r="F54" i="285"/>
  <c r="I54"/>
  <c r="C55"/>
  <c r="D55" i="283"/>
  <c r="I55"/>
  <c r="D52" i="282"/>
  <c r="I52"/>
  <c r="J50" i="279"/>
  <c r="F50"/>
  <c r="C51"/>
  <c r="E51" s="1"/>
  <c r="D42" i="262"/>
  <c r="H42" s="1"/>
  <c r="C42"/>
  <c r="C52" i="281"/>
  <c r="E52" s="1"/>
  <c r="F51"/>
  <c r="C51" i="280"/>
  <c r="E51" s="1"/>
  <c r="F50"/>
  <c r="E55" i="287" l="1"/>
  <c r="I55" s="1"/>
  <c r="D55"/>
  <c r="E55" i="285"/>
  <c r="I55" s="1"/>
  <c r="D55"/>
  <c r="D52" i="281"/>
  <c r="D51" i="280"/>
  <c r="I51"/>
  <c r="D51" i="279"/>
  <c r="I51"/>
  <c r="C56" i="283"/>
  <c r="E56" s="1"/>
  <c r="F55"/>
  <c r="C54" i="282"/>
  <c r="E54" s="1"/>
  <c r="F52"/>
  <c r="E42" i="262"/>
  <c r="B44"/>
  <c r="I52" i="281"/>
  <c r="C45" i="277"/>
  <c r="F44"/>
  <c r="F42" i="273"/>
  <c r="C44"/>
  <c r="C56" i="287" l="1"/>
  <c r="F55"/>
  <c r="E45" i="277"/>
  <c r="I45" s="1"/>
  <c r="D45"/>
  <c r="J45" s="1"/>
  <c r="E44" i="273"/>
  <c r="I44" s="1"/>
  <c r="D44"/>
  <c r="J44" s="1"/>
  <c r="F55" i="285"/>
  <c r="C56"/>
  <c r="D56" i="283"/>
  <c r="I56"/>
  <c r="D54" i="282"/>
  <c r="I54"/>
  <c r="J51" i="279"/>
  <c r="C52"/>
  <c r="E52" s="1"/>
  <c r="F51"/>
  <c r="D44" i="262"/>
  <c r="H44" s="1"/>
  <c r="C44"/>
  <c r="C54" i="281"/>
  <c r="E54" s="1"/>
  <c r="F52"/>
  <c r="C52" i="280"/>
  <c r="E52" s="1"/>
  <c r="F51"/>
  <c r="D56" i="287" l="1"/>
  <c r="E56"/>
  <c r="I56" s="1"/>
  <c r="D56" i="285"/>
  <c r="E56"/>
  <c r="I56" s="1"/>
  <c r="D54" i="281"/>
  <c r="D52" i="280"/>
  <c r="I52"/>
  <c r="D52" i="279"/>
  <c r="I52"/>
  <c r="C57" i="283"/>
  <c r="E57" s="1"/>
  <c r="F56"/>
  <c r="C55" i="282"/>
  <c r="E55" s="1"/>
  <c r="F54"/>
  <c r="B45" i="262"/>
  <c r="E44"/>
  <c r="I54" i="281"/>
  <c r="C46" i="277"/>
  <c r="F45"/>
  <c r="F44" i="273"/>
  <c r="C45"/>
  <c r="E46" i="277" l="1"/>
  <c r="D46"/>
  <c r="J46" s="1"/>
  <c r="C57" i="287"/>
  <c r="F56"/>
  <c r="E45" i="273"/>
  <c r="D45"/>
  <c r="J45" s="1"/>
  <c r="F56" i="285"/>
  <c r="C57"/>
  <c r="D57" i="283"/>
  <c r="I57"/>
  <c r="D55" i="282"/>
  <c r="I55"/>
  <c r="I46" i="277"/>
  <c r="I45" i="273"/>
  <c r="J52" i="279"/>
  <c r="C54"/>
  <c r="E54" s="1"/>
  <c r="F52"/>
  <c r="D45" i="262"/>
  <c r="H45" s="1"/>
  <c r="C45"/>
  <c r="C55" i="281"/>
  <c r="E55" s="1"/>
  <c r="F54"/>
  <c r="C54" i="280"/>
  <c r="E54" s="1"/>
  <c r="F52"/>
  <c r="E57" i="287" l="1"/>
  <c r="I57" s="1"/>
  <c r="D57"/>
  <c r="D57" i="285"/>
  <c r="F57" s="1"/>
  <c r="E57"/>
  <c r="I57" s="1"/>
  <c r="D55" i="281"/>
  <c r="D54" i="280"/>
  <c r="I54"/>
  <c r="I54" i="279"/>
  <c r="D54"/>
  <c r="C59" i="283"/>
  <c r="E59" s="1"/>
  <c r="F57"/>
  <c r="C56" i="282"/>
  <c r="E56" s="1"/>
  <c r="F55"/>
  <c r="E45" i="262"/>
  <c r="B46"/>
  <c r="I55" i="281"/>
  <c r="C47" i="277"/>
  <c r="E47" s="1"/>
  <c r="F46"/>
  <c r="F45" i="273"/>
  <c r="C46"/>
  <c r="E46" s="1"/>
  <c r="C59" i="287" l="1"/>
  <c r="F57"/>
  <c r="C59" i="285"/>
  <c r="I59" i="283"/>
  <c r="D59"/>
  <c r="D56" i="282"/>
  <c r="I56"/>
  <c r="D47" i="277"/>
  <c r="H47" s="1"/>
  <c r="I47"/>
  <c r="I46" i="273"/>
  <c r="J54" i="279"/>
  <c r="F54"/>
  <c r="C55"/>
  <c r="E55" s="1"/>
  <c r="D46" i="262"/>
  <c r="H46" s="1"/>
  <c r="C46"/>
  <c r="C56" i="281"/>
  <c r="E56" s="1"/>
  <c r="F55"/>
  <c r="C55" i="280"/>
  <c r="E55" s="1"/>
  <c r="F54"/>
  <c r="D59" i="287" l="1"/>
  <c r="E59"/>
  <c r="I59" s="1"/>
  <c r="D59" i="285"/>
  <c r="E59"/>
  <c r="I59" s="1"/>
  <c r="D56" i="281"/>
  <c r="I56"/>
  <c r="D55" i="280"/>
  <c r="I55"/>
  <c r="D55" i="279"/>
  <c r="I55"/>
  <c r="C60" i="283"/>
  <c r="E60" s="1"/>
  <c r="F59"/>
  <c r="C57" i="282"/>
  <c r="E57" s="1"/>
  <c r="F56"/>
  <c r="B47" i="262"/>
  <c r="E46"/>
  <c r="F47" i="277"/>
  <c r="C49"/>
  <c r="E49" s="1"/>
  <c r="F46" i="273"/>
  <c r="C47"/>
  <c r="E47" s="1"/>
  <c r="C60" i="287" l="1"/>
  <c r="F59"/>
  <c r="F59" i="285"/>
  <c r="C60"/>
  <c r="D60" i="283"/>
  <c r="I60"/>
  <c r="D57" i="282"/>
  <c r="I57"/>
  <c r="D49" i="277"/>
  <c r="D47" i="273"/>
  <c r="H47" s="1"/>
  <c r="I47"/>
  <c r="J55" i="279"/>
  <c r="F55"/>
  <c r="C56"/>
  <c r="E56" s="1"/>
  <c r="D47" i="262"/>
  <c r="H47" s="1"/>
  <c r="C47"/>
  <c r="C57" i="281"/>
  <c r="E57" s="1"/>
  <c r="F56"/>
  <c r="C56" i="280"/>
  <c r="E56" s="1"/>
  <c r="F55"/>
  <c r="I49" i="277"/>
  <c r="E60" i="287" l="1"/>
  <c r="I60" s="1"/>
  <c r="D60"/>
  <c r="E60" i="285"/>
  <c r="I60" s="1"/>
  <c r="D60"/>
  <c r="D57" i="281"/>
  <c r="D56" i="280"/>
  <c r="I56"/>
  <c r="D56" i="279"/>
  <c r="I56"/>
  <c r="C61" i="283"/>
  <c r="E61" s="1"/>
  <c r="F60"/>
  <c r="C59" i="282"/>
  <c r="E59" s="1"/>
  <c r="F57"/>
  <c r="B49" i="262"/>
  <c r="E47"/>
  <c r="I57" i="281"/>
  <c r="C50" i="277"/>
  <c r="E50" s="1"/>
  <c r="F49"/>
  <c r="C49" i="273"/>
  <c r="E49" s="1"/>
  <c r="F47"/>
  <c r="C61" i="287" l="1"/>
  <c r="F60"/>
  <c r="F60" i="285"/>
  <c r="C61"/>
  <c r="D61" i="283"/>
  <c r="I61"/>
  <c r="D59" i="282"/>
  <c r="I59"/>
  <c r="D50" i="277"/>
  <c r="D49" i="273"/>
  <c r="I49"/>
  <c r="J56" i="279"/>
  <c r="C57"/>
  <c r="E57" s="1"/>
  <c r="F56"/>
  <c r="D49" i="262"/>
  <c r="H49" s="1"/>
  <c r="C49"/>
  <c r="C59" i="281"/>
  <c r="E59" s="1"/>
  <c r="F57"/>
  <c r="C57" i="280"/>
  <c r="E57" s="1"/>
  <c r="F56"/>
  <c r="I50" i="277"/>
  <c r="D61" i="287" l="1"/>
  <c r="E61"/>
  <c r="I61" s="1"/>
  <c r="D61" i="285"/>
  <c r="E61"/>
  <c r="I61" s="1"/>
  <c r="D59" i="281"/>
  <c r="D57" i="280"/>
  <c r="I57"/>
  <c r="D57" i="279"/>
  <c r="I57"/>
  <c r="C62" i="283"/>
  <c r="E62" s="1"/>
  <c r="F61"/>
  <c r="C60" i="282"/>
  <c r="E60" s="1"/>
  <c r="F59"/>
  <c r="E49" i="262"/>
  <c r="B50"/>
  <c r="I59" i="281"/>
  <c r="C51" i="277"/>
  <c r="E51" s="1"/>
  <c r="F50"/>
  <c r="F49" i="273"/>
  <c r="C50"/>
  <c r="E50" s="1"/>
  <c r="C62" i="287" l="1"/>
  <c r="F61"/>
  <c r="F61" i="285"/>
  <c r="C62"/>
  <c r="D62" i="283"/>
  <c r="I62"/>
  <c r="D60" i="282"/>
  <c r="I60"/>
  <c r="D51" i="277"/>
  <c r="I50" i="273"/>
  <c r="D50"/>
  <c r="J57" i="279"/>
  <c r="C59"/>
  <c r="E59" s="1"/>
  <c r="F57"/>
  <c r="D50" i="262"/>
  <c r="H50" s="1"/>
  <c r="C50"/>
  <c r="C60" i="281"/>
  <c r="E60" s="1"/>
  <c r="F59"/>
  <c r="C59" i="280"/>
  <c r="E59" s="1"/>
  <c r="F57"/>
  <c r="I51" i="277"/>
  <c r="E62" i="287" l="1"/>
  <c r="I62" s="1"/>
  <c r="D62"/>
  <c r="E62" i="285"/>
  <c r="I62" s="1"/>
  <c r="D62"/>
  <c r="D60" i="281"/>
  <c r="D59" i="280"/>
  <c r="I59"/>
  <c r="D59" i="279"/>
  <c r="I59"/>
  <c r="F62" i="283"/>
  <c r="H62"/>
  <c r="C64" s="1"/>
  <c r="E64" s="1"/>
  <c r="C61" i="282"/>
  <c r="E61" s="1"/>
  <c r="F60"/>
  <c r="E50" i="262"/>
  <c r="B51"/>
  <c r="I60" i="281"/>
  <c r="C52" i="277"/>
  <c r="E52" s="1"/>
  <c r="F51"/>
  <c r="F50" i="273"/>
  <c r="C51"/>
  <c r="E51" s="1"/>
  <c r="F62" i="287" l="1"/>
  <c r="H62"/>
  <c r="C64" s="1"/>
  <c r="F62" i="285"/>
  <c r="H62"/>
  <c r="C64" s="1"/>
  <c r="I64" i="283"/>
  <c r="D64"/>
  <c r="D61" i="282"/>
  <c r="I61"/>
  <c r="D52" i="277"/>
  <c r="D51" i="273"/>
  <c r="I51"/>
  <c r="J59" i="279"/>
  <c r="C60"/>
  <c r="E60" s="1"/>
  <c r="F59"/>
  <c r="D51" i="262"/>
  <c r="H51" s="1"/>
  <c r="C51"/>
  <c r="C61" i="281"/>
  <c r="E61" s="1"/>
  <c r="F60"/>
  <c r="C60" i="280"/>
  <c r="E60" s="1"/>
  <c r="F59"/>
  <c r="I52" i="277"/>
  <c r="D64" i="287" l="1"/>
  <c r="E64"/>
  <c r="I64" s="1"/>
  <c r="D64" i="285"/>
  <c r="E64"/>
  <c r="I64" s="1"/>
  <c r="D61" i="281"/>
  <c r="D60" i="280"/>
  <c r="I60"/>
  <c r="I60" i="279"/>
  <c r="D60"/>
  <c r="F64" i="283"/>
  <c r="C65"/>
  <c r="E65" s="1"/>
  <c r="C62" i="282"/>
  <c r="E62" s="1"/>
  <c r="F61"/>
  <c r="B52" i="262"/>
  <c r="E51"/>
  <c r="I61" i="281"/>
  <c r="C54" i="277"/>
  <c r="E54" s="1"/>
  <c r="F52"/>
  <c r="F51" i="273"/>
  <c r="C52"/>
  <c r="E52" s="1"/>
  <c r="F64" i="287" l="1"/>
  <c r="C65"/>
  <c r="F64" i="285"/>
  <c r="C65"/>
  <c r="D65" i="283"/>
  <c r="I65"/>
  <c r="D62" i="282"/>
  <c r="I62"/>
  <c r="D54" i="277"/>
  <c r="D52" i="273"/>
  <c r="I52"/>
  <c r="J60" i="279"/>
  <c r="C61"/>
  <c r="E61" s="1"/>
  <c r="F60"/>
  <c r="D52" i="262"/>
  <c r="H52" s="1"/>
  <c r="C52"/>
  <c r="C62" i="281"/>
  <c r="E62" s="1"/>
  <c r="F61"/>
  <c r="C61" i="280"/>
  <c r="E61" s="1"/>
  <c r="F60"/>
  <c r="I54" i="277"/>
  <c r="D65" i="287" l="1"/>
  <c r="E65"/>
  <c r="I65" s="1"/>
  <c r="E65" i="285"/>
  <c r="I65" s="1"/>
  <c r="D65"/>
  <c r="D62" i="281"/>
  <c r="D61" i="280"/>
  <c r="I61"/>
  <c r="I61" i="279"/>
  <c r="D61"/>
  <c r="C66" i="283"/>
  <c r="E66" s="1"/>
  <c r="F65"/>
  <c r="H62" i="282"/>
  <c r="C64" s="1"/>
  <c r="E64" s="1"/>
  <c r="F62"/>
  <c r="E52" i="262"/>
  <c r="B54"/>
  <c r="I62" i="281"/>
  <c r="C55" i="277"/>
  <c r="E55" s="1"/>
  <c r="F54"/>
  <c r="F52" i="273"/>
  <c r="C54"/>
  <c r="E54" s="1"/>
  <c r="C66" i="287" l="1"/>
  <c r="F65"/>
  <c r="F65" i="285"/>
  <c r="C66"/>
  <c r="D66" i="283"/>
  <c r="I66"/>
  <c r="D64" i="282"/>
  <c r="D55" i="277"/>
  <c r="I55"/>
  <c r="D54" i="273"/>
  <c r="I54"/>
  <c r="J61" i="279"/>
  <c r="C62"/>
  <c r="E62" s="1"/>
  <c r="F61"/>
  <c r="I64" i="282"/>
  <c r="D54" i="262"/>
  <c r="H54" s="1"/>
  <c r="C54"/>
  <c r="H62" i="281"/>
  <c r="C64" s="1"/>
  <c r="E64" s="1"/>
  <c r="F62"/>
  <c r="C62" i="280"/>
  <c r="E62" s="1"/>
  <c r="F61"/>
  <c r="D66" i="287" l="1"/>
  <c r="E66"/>
  <c r="I66" s="1"/>
  <c r="D66" i="285"/>
  <c r="F66" s="1"/>
  <c r="E66"/>
  <c r="I66" s="1"/>
  <c r="D64" i="281"/>
  <c r="I64"/>
  <c r="D62" i="280"/>
  <c r="I62"/>
  <c r="D62" i="279"/>
  <c r="I62"/>
  <c r="F66" i="283"/>
  <c r="C67"/>
  <c r="E67" s="1"/>
  <c r="F64" i="282"/>
  <c r="C65"/>
  <c r="E65" s="1"/>
  <c r="B55" i="262"/>
  <c r="E54"/>
  <c r="C56" i="277"/>
  <c r="E56" s="1"/>
  <c r="F55"/>
  <c r="F54" i="273"/>
  <c r="C55"/>
  <c r="E55" s="1"/>
  <c r="F66" i="287" l="1"/>
  <c r="C67"/>
  <c r="C67" i="285"/>
  <c r="D67" i="283"/>
  <c r="I67"/>
  <c r="D65" i="282"/>
  <c r="I65"/>
  <c r="D56" i="277"/>
  <c r="D55" i="273"/>
  <c r="J62" i="279"/>
  <c r="C64"/>
  <c r="E64" s="1"/>
  <c r="F62"/>
  <c r="D55" i="262"/>
  <c r="H55" s="1"/>
  <c r="C55"/>
  <c r="C65" i="281"/>
  <c r="E65" s="1"/>
  <c r="F64"/>
  <c r="F62" i="280"/>
  <c r="H62"/>
  <c r="C64" s="1"/>
  <c r="E64" s="1"/>
  <c r="I56" i="277"/>
  <c r="I55" i="273"/>
  <c r="D67" i="287" l="1"/>
  <c r="E67"/>
  <c r="I67" s="1"/>
  <c r="D67" i="285"/>
  <c r="E67"/>
  <c r="I67" s="1"/>
  <c r="I65" i="281"/>
  <c r="D65"/>
  <c r="D64" i="280"/>
  <c r="I64"/>
  <c r="D64" i="279"/>
  <c r="I64"/>
  <c r="C69" i="283"/>
  <c r="E69" s="1"/>
  <c r="F67"/>
  <c r="F65" i="282"/>
  <c r="C66"/>
  <c r="E66" s="1"/>
  <c r="E55" i="262"/>
  <c r="B56"/>
  <c r="C57" i="277"/>
  <c r="E57" s="1"/>
  <c r="F56"/>
  <c r="F55" i="273"/>
  <c r="C56"/>
  <c r="E56" s="1"/>
  <c r="C69" i="287" l="1"/>
  <c r="F67"/>
  <c r="F67" i="285"/>
  <c r="C69"/>
  <c r="I69" i="283"/>
  <c r="D69"/>
  <c r="D66" i="282"/>
  <c r="I66"/>
  <c r="D57" i="277"/>
  <c r="D56" i="273"/>
  <c r="I56"/>
  <c r="J64" i="279"/>
  <c r="C65"/>
  <c r="E65" s="1"/>
  <c r="F64"/>
  <c r="D56" i="262"/>
  <c r="C56"/>
  <c r="C66" i="281"/>
  <c r="E66" s="1"/>
  <c r="F65"/>
  <c r="C65" i="280"/>
  <c r="E65" s="1"/>
  <c r="F64"/>
  <c r="I57" i="277"/>
  <c r="D69" i="287" l="1"/>
  <c r="E69"/>
  <c r="I69" s="1"/>
  <c r="D69" i="285"/>
  <c r="E69"/>
  <c r="I69" s="1"/>
  <c r="D66" i="281"/>
  <c r="I66"/>
  <c r="D65" i="280"/>
  <c r="I65"/>
  <c r="D65" i="279"/>
  <c r="I65"/>
  <c r="F69" i="283"/>
  <c r="C70"/>
  <c r="E70" s="1"/>
  <c r="F66" i="282"/>
  <c r="C67"/>
  <c r="E67" s="1"/>
  <c r="G56" i="262"/>
  <c r="H56"/>
  <c r="B57"/>
  <c r="E56"/>
  <c r="C59" i="277"/>
  <c r="E59" s="1"/>
  <c r="F57"/>
  <c r="F56" i="273"/>
  <c r="C57"/>
  <c r="E57" s="1"/>
  <c r="F69" i="287" l="1"/>
  <c r="C70"/>
  <c r="F69" i="285"/>
  <c r="C70"/>
  <c r="D70" i="283"/>
  <c r="I70"/>
  <c r="D67" i="282"/>
  <c r="I67"/>
  <c r="D59" i="277"/>
  <c r="I57" i="273"/>
  <c r="D57"/>
  <c r="J65" i="279"/>
  <c r="C66"/>
  <c r="E66" s="1"/>
  <c r="F65"/>
  <c r="D57" i="262"/>
  <c r="H57" s="1"/>
  <c r="C57"/>
  <c r="C67" i="281"/>
  <c r="E67" s="1"/>
  <c r="F66"/>
  <c r="C66" i="280"/>
  <c r="E66" s="1"/>
  <c r="F65"/>
  <c r="I59" i="277"/>
  <c r="D70" i="287" l="1"/>
  <c r="E70"/>
  <c r="I70" s="1"/>
  <c r="D70" i="285"/>
  <c r="E70"/>
  <c r="I70" s="1"/>
  <c r="D67" i="281"/>
  <c r="D66" i="280"/>
  <c r="I66"/>
  <c r="I66" i="279"/>
  <c r="D66"/>
  <c r="C71" i="283"/>
  <c r="E71" s="1"/>
  <c r="F70"/>
  <c r="F67" i="282"/>
  <c r="C69"/>
  <c r="E69" s="1"/>
  <c r="E57" i="262"/>
  <c r="B59"/>
  <c r="I67" i="281"/>
  <c r="C60" i="277"/>
  <c r="E60" s="1"/>
  <c r="F59"/>
  <c r="C59" i="273"/>
  <c r="E59" s="1"/>
  <c r="F57"/>
  <c r="C71" i="287" l="1"/>
  <c r="F70"/>
  <c r="C71" i="285"/>
  <c r="F70"/>
  <c r="D71" i="283"/>
  <c r="I71"/>
  <c r="D69" i="282"/>
  <c r="I69"/>
  <c r="D60" i="277"/>
  <c r="D59" i="273"/>
  <c r="I59"/>
  <c r="J66" i="279"/>
  <c r="C67"/>
  <c r="E67" s="1"/>
  <c r="F66"/>
  <c r="D59" i="262"/>
  <c r="H59" s="1"/>
  <c r="C59"/>
  <c r="C69" i="281"/>
  <c r="E69" s="1"/>
  <c r="F67"/>
  <c r="C67" i="280"/>
  <c r="E67" s="1"/>
  <c r="F66"/>
  <c r="I60" i="277"/>
  <c r="D71" i="287" l="1"/>
  <c r="E71"/>
  <c r="I71" s="1"/>
  <c r="D71" i="285"/>
  <c r="E71"/>
  <c r="I71" s="1"/>
  <c r="D69" i="281"/>
  <c r="I69"/>
  <c r="D67" i="280"/>
  <c r="I67"/>
  <c r="D67" i="279"/>
  <c r="I67"/>
  <c r="F71" i="283"/>
  <c r="C72"/>
  <c r="E72" s="1"/>
  <c r="F69" i="282"/>
  <c r="C70"/>
  <c r="E70" s="1"/>
  <c r="E59" i="262"/>
  <c r="B60"/>
  <c r="C61" i="277"/>
  <c r="E61" s="1"/>
  <c r="F60"/>
  <c r="F59" i="273"/>
  <c r="C60"/>
  <c r="E60" s="1"/>
  <c r="F71" i="287" l="1"/>
  <c r="C72"/>
  <c r="F71" i="285"/>
  <c r="C72"/>
  <c r="D72" i="283"/>
  <c r="I72"/>
  <c r="D70" i="282"/>
  <c r="I70"/>
  <c r="D61" i="277"/>
  <c r="I60" i="273"/>
  <c r="D60"/>
  <c r="J67" i="279"/>
  <c r="C69"/>
  <c r="E69" s="1"/>
  <c r="F67"/>
  <c r="D60" i="262"/>
  <c r="H60" s="1"/>
  <c r="C60"/>
  <c r="C70" i="281"/>
  <c r="E70" s="1"/>
  <c r="F69"/>
  <c r="C69" i="280"/>
  <c r="E69" s="1"/>
  <c r="F67"/>
  <c r="I61" i="277"/>
  <c r="D72" i="287" l="1"/>
  <c r="E72"/>
  <c r="I72" s="1"/>
  <c r="D72" i="285"/>
  <c r="E72"/>
  <c r="I72" s="1"/>
  <c r="I70" i="281"/>
  <c r="D70"/>
  <c r="D69" i="280"/>
  <c r="I69"/>
  <c r="D69" i="279"/>
  <c r="I69"/>
  <c r="C74" i="283"/>
  <c r="E74" s="1"/>
  <c r="F72"/>
  <c r="F70" i="282"/>
  <c r="C71"/>
  <c r="E71" s="1"/>
  <c r="B61" i="262"/>
  <c r="E60"/>
  <c r="C62" i="277"/>
  <c r="E62" s="1"/>
  <c r="F61"/>
  <c r="F60" i="273"/>
  <c r="C61"/>
  <c r="E61" s="1"/>
  <c r="C74" i="287" l="1"/>
  <c r="F72"/>
  <c r="C74" i="285"/>
  <c r="F72"/>
  <c r="I74" i="283"/>
  <c r="D74"/>
  <c r="D71" i="282"/>
  <c r="I71"/>
  <c r="D62" i="277"/>
  <c r="D61" i="273"/>
  <c r="I61"/>
  <c r="J69" i="279"/>
  <c r="C70"/>
  <c r="E70" s="1"/>
  <c r="F69"/>
  <c r="D61" i="262"/>
  <c r="H61" s="1"/>
  <c r="C61"/>
  <c r="C71" i="281"/>
  <c r="E71" s="1"/>
  <c r="F70"/>
  <c r="C70" i="280"/>
  <c r="E70" s="1"/>
  <c r="F69"/>
  <c r="I62" i="277"/>
  <c r="D74" i="287" l="1"/>
  <c r="E74"/>
  <c r="I74" s="1"/>
  <c r="D74" i="285"/>
  <c r="E74"/>
  <c r="I74" s="1"/>
  <c r="D71" i="281"/>
  <c r="I71"/>
  <c r="D70" i="280"/>
  <c r="I70"/>
  <c r="D70" i="279"/>
  <c r="I70"/>
  <c r="F74" i="283"/>
  <c r="C75"/>
  <c r="E75" s="1"/>
  <c r="F71" i="282"/>
  <c r="C72"/>
  <c r="E72" s="1"/>
  <c r="E61" i="262"/>
  <c r="B62"/>
  <c r="H62" i="277"/>
  <c r="C64" s="1"/>
  <c r="E64" s="1"/>
  <c r="F62"/>
  <c r="F61" i="273"/>
  <c r="C62"/>
  <c r="E62" s="1"/>
  <c r="F74" i="287" l="1"/>
  <c r="C75"/>
  <c r="F74" i="285"/>
  <c r="C75"/>
  <c r="D75" i="283"/>
  <c r="I75"/>
  <c r="D72" i="282"/>
  <c r="I72"/>
  <c r="D64" i="277"/>
  <c r="I64"/>
  <c r="I62" i="273"/>
  <c r="D62"/>
  <c r="H62" s="1"/>
  <c r="J70" i="279"/>
  <c r="C71"/>
  <c r="E71" s="1"/>
  <c r="F70"/>
  <c r="D62" i="262"/>
  <c r="H62" s="1"/>
  <c r="C62"/>
  <c r="C72" i="281"/>
  <c r="E72" s="1"/>
  <c r="F71"/>
  <c r="C71" i="280"/>
  <c r="E71" s="1"/>
  <c r="F70"/>
  <c r="D75" i="287" l="1"/>
  <c r="E75"/>
  <c r="I75" s="1"/>
  <c r="D75" i="285"/>
  <c r="E75"/>
  <c r="I75" s="1"/>
  <c r="D72" i="281"/>
  <c r="I72"/>
  <c r="D71" i="280"/>
  <c r="I71"/>
  <c r="D71" i="279"/>
  <c r="I71"/>
  <c r="C76" i="283"/>
  <c r="E76" s="1"/>
  <c r="F75"/>
  <c r="C74" i="282"/>
  <c r="E74" s="1"/>
  <c r="F72"/>
  <c r="E62" i="262"/>
  <c r="B64"/>
  <c r="C65" i="277"/>
  <c r="E65" s="1"/>
  <c r="F64"/>
  <c r="F62" i="273"/>
  <c r="C64"/>
  <c r="E64" s="1"/>
  <c r="C76" i="287" l="1"/>
  <c r="F75"/>
  <c r="C76" i="285"/>
  <c r="F75"/>
  <c r="D76" i="283"/>
  <c r="I76"/>
  <c r="D74" i="282"/>
  <c r="I74"/>
  <c r="D65" i="277"/>
  <c r="D64" i="273"/>
  <c r="I64"/>
  <c r="J71" i="279"/>
  <c r="C72"/>
  <c r="E72" s="1"/>
  <c r="F71"/>
  <c r="D64" i="262"/>
  <c r="H64" s="1"/>
  <c r="C64"/>
  <c r="C74" i="281"/>
  <c r="E74" s="1"/>
  <c r="F72"/>
  <c r="C72" i="280"/>
  <c r="E72" s="1"/>
  <c r="F71"/>
  <c r="I65" i="277"/>
  <c r="D76" i="287" l="1"/>
  <c r="E76"/>
  <c r="I76" s="1"/>
  <c r="D76" i="285"/>
  <c r="E76"/>
  <c r="I76" s="1"/>
  <c r="D74" i="281"/>
  <c r="I74"/>
  <c r="D72" i="280"/>
  <c r="I72"/>
  <c r="D72" i="279"/>
  <c r="I72"/>
  <c r="F76" i="283"/>
  <c r="C77"/>
  <c r="E77" s="1"/>
  <c r="C75" i="282"/>
  <c r="E75" s="1"/>
  <c r="F74"/>
  <c r="E64" i="262"/>
  <c r="B65"/>
  <c r="C66" i="277"/>
  <c r="E66" s="1"/>
  <c r="F65"/>
  <c r="F64" i="273"/>
  <c r="C65"/>
  <c r="E65" s="1"/>
  <c r="F76" i="287" l="1"/>
  <c r="C77"/>
  <c r="F76" i="285"/>
  <c r="C77"/>
  <c r="D77" i="283"/>
  <c r="I77"/>
  <c r="D75" i="282"/>
  <c r="I75"/>
  <c r="D66" i="277"/>
  <c r="D65" i="273"/>
  <c r="I65"/>
  <c r="J72" i="279"/>
  <c r="F72"/>
  <c r="C74"/>
  <c r="E74" s="1"/>
  <c r="D65" i="262"/>
  <c r="H65" s="1"/>
  <c r="C65"/>
  <c r="C75" i="281"/>
  <c r="E75" s="1"/>
  <c r="F74"/>
  <c r="C74" i="280"/>
  <c r="E74" s="1"/>
  <c r="F72"/>
  <c r="I66" i="277"/>
  <c r="D77" i="287" l="1"/>
  <c r="E77"/>
  <c r="I77" s="1"/>
  <c r="D77" i="285"/>
  <c r="E77"/>
  <c r="I77" s="1"/>
  <c r="I75" i="281"/>
  <c r="D75"/>
  <c r="D74" i="280"/>
  <c r="I74"/>
  <c r="D74" i="279"/>
  <c r="I74"/>
  <c r="F77" i="283"/>
  <c r="H77"/>
  <c r="C79" s="1"/>
  <c r="E79" s="1"/>
  <c r="C76" i="282"/>
  <c r="E76" s="1"/>
  <c r="F75"/>
  <c r="E65" i="262"/>
  <c r="B66"/>
  <c r="C67" i="277"/>
  <c r="E67" s="1"/>
  <c r="F66"/>
  <c r="F65" i="273"/>
  <c r="C66"/>
  <c r="E66" s="1"/>
  <c r="F77" i="287" l="1"/>
  <c r="H77"/>
  <c r="C79" s="1"/>
  <c r="F77" i="285"/>
  <c r="H77"/>
  <c r="C79" s="1"/>
  <c r="I79" i="283"/>
  <c r="D79"/>
  <c r="D76" i="282"/>
  <c r="I76"/>
  <c r="D67" i="277"/>
  <c r="D66" i="273"/>
  <c r="I66"/>
  <c r="J74" i="279"/>
  <c r="F74"/>
  <c r="C75"/>
  <c r="E75" s="1"/>
  <c r="D66" i="262"/>
  <c r="H66" s="1"/>
  <c r="C66"/>
  <c r="C76" i="281"/>
  <c r="E76" s="1"/>
  <c r="F75"/>
  <c r="C75" i="280"/>
  <c r="E75" s="1"/>
  <c r="F74"/>
  <c r="I67" i="277"/>
  <c r="E79" i="287" l="1"/>
  <c r="I79" s="1"/>
  <c r="D79"/>
  <c r="E79" i="285"/>
  <c r="I79" s="1"/>
  <c r="D79"/>
  <c r="D76" i="281"/>
  <c r="D75" i="280"/>
  <c r="I75"/>
  <c r="D75" i="279"/>
  <c r="I75"/>
  <c r="C80" i="283"/>
  <c r="E80" s="1"/>
  <c r="F79"/>
  <c r="C77" i="282"/>
  <c r="E77" s="1"/>
  <c r="F76"/>
  <c r="B67" i="262"/>
  <c r="E66"/>
  <c r="I76" i="281"/>
  <c r="C69" i="277"/>
  <c r="E69" s="1"/>
  <c r="F67"/>
  <c r="F66" i="273"/>
  <c r="C67"/>
  <c r="E67" s="1"/>
  <c r="C80" i="287" l="1"/>
  <c r="F79"/>
  <c r="C80" i="285"/>
  <c r="F79"/>
  <c r="D80" i="283"/>
  <c r="I80"/>
  <c r="D77" i="282"/>
  <c r="I77"/>
  <c r="D69" i="277"/>
  <c r="I67" i="273"/>
  <c r="D67"/>
  <c r="J75" i="279"/>
  <c r="F75"/>
  <c r="C76"/>
  <c r="E76" s="1"/>
  <c r="D67" i="262"/>
  <c r="H67" s="1"/>
  <c r="C67"/>
  <c r="C77" i="281"/>
  <c r="E77" s="1"/>
  <c r="F76"/>
  <c r="C76" i="280"/>
  <c r="E76" s="1"/>
  <c r="F75"/>
  <c r="I69" i="277"/>
  <c r="D80" i="287" l="1"/>
  <c r="E80"/>
  <c r="I80" s="1"/>
  <c r="D80" i="285"/>
  <c r="E80"/>
  <c r="I80" s="1"/>
  <c r="D77" i="281"/>
  <c r="D76" i="280"/>
  <c r="I76"/>
  <c r="D76" i="279"/>
  <c r="I76"/>
  <c r="C81" i="283"/>
  <c r="E81" s="1"/>
  <c r="F80"/>
  <c r="H77" i="282"/>
  <c r="C79" s="1"/>
  <c r="E79" s="1"/>
  <c r="F77"/>
  <c r="E67" i="262"/>
  <c r="B69"/>
  <c r="I77" i="281"/>
  <c r="C70" i="277"/>
  <c r="E70" s="1"/>
  <c r="F69"/>
  <c r="C69" i="273"/>
  <c r="E69" s="1"/>
  <c r="F67"/>
  <c r="C81" i="287" l="1"/>
  <c r="F80"/>
  <c r="C81" i="285"/>
  <c r="F80"/>
  <c r="D81" i="283"/>
  <c r="I81"/>
  <c r="D79" i="282"/>
  <c r="I79"/>
  <c r="D70" i="277"/>
  <c r="D69" i="273"/>
  <c r="I69"/>
  <c r="J76" i="279"/>
  <c r="C77"/>
  <c r="E77" s="1"/>
  <c r="F76"/>
  <c r="D69" i="262"/>
  <c r="H69" s="1"/>
  <c r="C69"/>
  <c r="F77" i="281"/>
  <c r="H77"/>
  <c r="C79" s="1"/>
  <c r="E79" s="1"/>
  <c r="C77" i="280"/>
  <c r="E77" s="1"/>
  <c r="F76"/>
  <c r="I70" i="277"/>
  <c r="E81" i="287" l="1"/>
  <c r="I81" s="1"/>
  <c r="D81"/>
  <c r="E81" i="285"/>
  <c r="I81" s="1"/>
  <c r="D81"/>
  <c r="D79" i="281"/>
  <c r="D77" i="280"/>
  <c r="I77"/>
  <c r="D77" i="279"/>
  <c r="I77"/>
  <c r="C82" i="283"/>
  <c r="E82" s="1"/>
  <c r="F81"/>
  <c r="F79" i="282"/>
  <c r="C80"/>
  <c r="E80" s="1"/>
  <c r="B70" i="262"/>
  <c r="E69"/>
  <c r="I79" i="281"/>
  <c r="C71" i="277"/>
  <c r="E71" s="1"/>
  <c r="F70"/>
  <c r="F69" i="273"/>
  <c r="C70"/>
  <c r="E70" s="1"/>
  <c r="C82" i="287" l="1"/>
  <c r="F81"/>
  <c r="C82" i="285"/>
  <c r="F81"/>
  <c r="D82" i="283"/>
  <c r="I82"/>
  <c r="D80" i="282"/>
  <c r="I80"/>
  <c r="D71" i="277"/>
  <c r="I70" i="273"/>
  <c r="D70"/>
  <c r="J77" i="279"/>
  <c r="C79"/>
  <c r="E79" s="1"/>
  <c r="F77"/>
  <c r="C70" i="262"/>
  <c r="D70"/>
  <c r="H70" s="1"/>
  <c r="C80" i="281"/>
  <c r="E80" s="1"/>
  <c r="F79"/>
  <c r="H77" i="280"/>
  <c r="C79" s="1"/>
  <c r="E79" s="1"/>
  <c r="F77"/>
  <c r="I71" i="277"/>
  <c r="D82" i="287" l="1"/>
  <c r="E82"/>
  <c r="I82" s="1"/>
  <c r="D82" i="285"/>
  <c r="E82"/>
  <c r="I82" s="1"/>
  <c r="I80" i="281"/>
  <c r="D80"/>
  <c r="D79" i="280"/>
  <c r="I79"/>
  <c r="I79" i="279"/>
  <c r="D79"/>
  <c r="C84" i="283"/>
  <c r="E84" s="1"/>
  <c r="F82"/>
  <c r="F80" i="282"/>
  <c r="C81"/>
  <c r="E81" s="1"/>
  <c r="B71" i="262"/>
  <c r="E70"/>
  <c r="C72" i="277"/>
  <c r="E72" s="1"/>
  <c r="F71"/>
  <c r="F70" i="273"/>
  <c r="C71"/>
  <c r="E71" s="1"/>
  <c r="C84" i="287" l="1"/>
  <c r="F82"/>
  <c r="C84" i="285"/>
  <c r="F82"/>
  <c r="I84" i="283"/>
  <c r="D84"/>
  <c r="D81" i="282"/>
  <c r="I81"/>
  <c r="D72" i="277"/>
  <c r="I72"/>
  <c r="D71" i="273"/>
  <c r="I71"/>
  <c r="J79" i="279"/>
  <c r="C80"/>
  <c r="E80" s="1"/>
  <c r="F79"/>
  <c r="D71" i="262"/>
  <c r="H71" s="1"/>
  <c r="C71"/>
  <c r="C81" i="281"/>
  <c r="E81" s="1"/>
  <c r="F80"/>
  <c r="C80" i="280"/>
  <c r="E80" s="1"/>
  <c r="F79"/>
  <c r="E84" i="287" l="1"/>
  <c r="I84" s="1"/>
  <c r="D84"/>
  <c r="E84" i="285"/>
  <c r="I84" s="1"/>
  <c r="D84"/>
  <c r="D81" i="281"/>
  <c r="D80" i="280"/>
  <c r="I80"/>
  <c r="D80" i="279"/>
  <c r="I80"/>
  <c r="C85" i="283"/>
  <c r="E85" s="1"/>
  <c r="F84"/>
  <c r="F81" i="282"/>
  <c r="C82"/>
  <c r="E82" s="1"/>
  <c r="B72" i="262"/>
  <c r="E71"/>
  <c r="I81" i="281"/>
  <c r="C74" i="277"/>
  <c r="E74" s="1"/>
  <c r="F72"/>
  <c r="F71" i="273"/>
  <c r="C72"/>
  <c r="E72" s="1"/>
  <c r="C85" i="287" l="1"/>
  <c r="F84"/>
  <c r="C85" i="285"/>
  <c r="F84"/>
  <c r="D85" i="283"/>
  <c r="I85"/>
  <c r="D82" i="282"/>
  <c r="I82"/>
  <c r="D74" i="277"/>
  <c r="I72" i="273"/>
  <c r="D72"/>
  <c r="J80" i="279"/>
  <c r="C81"/>
  <c r="E81" s="1"/>
  <c r="F80"/>
  <c r="D72" i="262"/>
  <c r="H72" s="1"/>
  <c r="C72"/>
  <c r="C82" i="281"/>
  <c r="E82" s="1"/>
  <c r="F81"/>
  <c r="C81" i="280"/>
  <c r="E81" s="1"/>
  <c r="F80"/>
  <c r="I74" i="277"/>
  <c r="D85" i="287" l="1"/>
  <c r="E85"/>
  <c r="I85" s="1"/>
  <c r="D85" i="285"/>
  <c r="E85"/>
  <c r="I85" s="1"/>
  <c r="D82" i="281"/>
  <c r="D81" i="280"/>
  <c r="I81"/>
  <c r="D81" i="279"/>
  <c r="I81"/>
  <c r="C86" i="283"/>
  <c r="E86" s="1"/>
  <c r="F85"/>
  <c r="F82" i="282"/>
  <c r="C84"/>
  <c r="E84" s="1"/>
  <c r="E72" i="262"/>
  <c r="B74"/>
  <c r="I82" i="281"/>
  <c r="C75" i="277"/>
  <c r="E75" s="1"/>
  <c r="F74"/>
  <c r="F72" i="273"/>
  <c r="C74"/>
  <c r="E74" s="1"/>
  <c r="C86" i="287" l="1"/>
  <c r="F85"/>
  <c r="C86" i="285"/>
  <c r="F85"/>
  <c r="D86" i="283"/>
  <c r="I86"/>
  <c r="D84" i="282"/>
  <c r="I84"/>
  <c r="D75" i="277"/>
  <c r="I75"/>
  <c r="D74" i="273"/>
  <c r="I74"/>
  <c r="J81" i="279"/>
  <c r="C82"/>
  <c r="E82" s="1"/>
  <c r="F81"/>
  <c r="D74" i="262"/>
  <c r="H74" s="1"/>
  <c r="C74"/>
  <c r="C84" i="281"/>
  <c r="E84" s="1"/>
  <c r="F82"/>
  <c r="C82" i="280"/>
  <c r="E82" s="1"/>
  <c r="F81"/>
  <c r="E86" i="287" l="1"/>
  <c r="I86" s="1"/>
  <c r="D86"/>
  <c r="E86" i="285"/>
  <c r="I86" s="1"/>
  <c r="D86"/>
  <c r="D84" i="281"/>
  <c r="D82" i="280"/>
  <c r="I82"/>
  <c r="D82" i="279"/>
  <c r="I82"/>
  <c r="C87" i="283"/>
  <c r="E87" s="1"/>
  <c r="F86"/>
  <c r="F84" i="282"/>
  <c r="C85"/>
  <c r="E85" s="1"/>
  <c r="B75" i="262"/>
  <c r="E74"/>
  <c r="I84" i="281"/>
  <c r="C76" i="277"/>
  <c r="E76" s="1"/>
  <c r="F75"/>
  <c r="F74" i="273"/>
  <c r="C75"/>
  <c r="E75" s="1"/>
  <c r="C87" i="287" l="1"/>
  <c r="F86"/>
  <c r="C87" i="285"/>
  <c r="F86"/>
  <c r="D87" i="283"/>
  <c r="I87"/>
  <c r="D85" i="282"/>
  <c r="I85"/>
  <c r="D76" i="277"/>
  <c r="I75" i="273"/>
  <c r="D75"/>
  <c r="J82" i="279"/>
  <c r="C84"/>
  <c r="E84" s="1"/>
  <c r="F82"/>
  <c r="D75" i="262"/>
  <c r="H75" s="1"/>
  <c r="C75"/>
  <c r="C85" i="281"/>
  <c r="E85" s="1"/>
  <c r="F84"/>
  <c r="C84" i="280"/>
  <c r="E84" s="1"/>
  <c r="F82"/>
  <c r="I76" i="277"/>
  <c r="D87" i="287" l="1"/>
  <c r="E87"/>
  <c r="I87" s="1"/>
  <c r="D87" i="285"/>
  <c r="E87"/>
  <c r="I87" s="1"/>
  <c r="I85" i="281"/>
  <c r="D85"/>
  <c r="D84" i="280"/>
  <c r="I84"/>
  <c r="I84" i="279"/>
  <c r="D84"/>
  <c r="C89" i="283"/>
  <c r="E89" s="1"/>
  <c r="F87"/>
  <c r="F85" i="282"/>
  <c r="C86"/>
  <c r="E86" s="1"/>
  <c r="E75" i="262"/>
  <c r="B76"/>
  <c r="C77" i="277"/>
  <c r="E77" s="1"/>
  <c r="F76"/>
  <c r="F75" i="273"/>
  <c r="C76"/>
  <c r="E76" s="1"/>
  <c r="C89" i="287" l="1"/>
  <c r="F87"/>
  <c r="C89" i="285"/>
  <c r="F87"/>
  <c r="I89" i="283"/>
  <c r="D89"/>
  <c r="D86" i="282"/>
  <c r="I86"/>
  <c r="D77" i="277"/>
  <c r="D76" i="273"/>
  <c r="I76"/>
  <c r="J84" i="279"/>
  <c r="C85"/>
  <c r="E85" s="1"/>
  <c r="F84"/>
  <c r="D76" i="262"/>
  <c r="H76" s="1"/>
  <c r="C76"/>
  <c r="C86" i="281"/>
  <c r="E86" s="1"/>
  <c r="F85"/>
  <c r="C85" i="280"/>
  <c r="E85" s="1"/>
  <c r="F84"/>
  <c r="I77" i="277"/>
  <c r="E89" i="287" l="1"/>
  <c r="I89" s="1"/>
  <c r="D89"/>
  <c r="E89" i="285"/>
  <c r="I89" s="1"/>
  <c r="D89"/>
  <c r="D86" i="281"/>
  <c r="D85" i="280"/>
  <c r="I85"/>
  <c r="I85" i="279"/>
  <c r="D85"/>
  <c r="C90" i="283"/>
  <c r="E90" s="1"/>
  <c r="F89"/>
  <c r="F86" i="282"/>
  <c r="C87"/>
  <c r="E87" s="1"/>
  <c r="B77" i="262"/>
  <c r="E76"/>
  <c r="I86" i="281"/>
  <c r="F77" i="277"/>
  <c r="H77"/>
  <c r="C79" s="1"/>
  <c r="E79" s="1"/>
  <c r="F76" i="273"/>
  <c r="C77"/>
  <c r="E77" s="1"/>
  <c r="C90" i="287" l="1"/>
  <c r="F89"/>
  <c r="C90" i="285"/>
  <c r="F89"/>
  <c r="D90" i="283"/>
  <c r="I90"/>
  <c r="D87" i="282"/>
  <c r="I87"/>
  <c r="D79" i="277"/>
  <c r="I79"/>
  <c r="I77" i="273"/>
  <c r="D77"/>
  <c r="H77" s="1"/>
  <c r="J85" i="279"/>
  <c r="C86"/>
  <c r="E86" s="1"/>
  <c r="F85"/>
  <c r="C77" i="262"/>
  <c r="D77"/>
  <c r="H77" s="1"/>
  <c r="C87" i="281"/>
  <c r="E87" s="1"/>
  <c r="F86"/>
  <c r="C86" i="280"/>
  <c r="E86" s="1"/>
  <c r="F85"/>
  <c r="D90" i="287" l="1"/>
  <c r="E90"/>
  <c r="I90" s="1"/>
  <c r="D90" i="285"/>
  <c r="E90"/>
  <c r="I90" s="1"/>
  <c r="D87" i="281"/>
  <c r="D86" i="280"/>
  <c r="I86"/>
  <c r="I86" i="279"/>
  <c r="D86"/>
  <c r="C91" i="283"/>
  <c r="E91" s="1"/>
  <c r="F90"/>
  <c r="F87" i="282"/>
  <c r="C89"/>
  <c r="E89" s="1"/>
  <c r="E77" i="262"/>
  <c r="B79"/>
  <c r="I87" i="281"/>
  <c r="C80" i="277"/>
  <c r="E80" s="1"/>
  <c r="F79"/>
  <c r="C79" i="273"/>
  <c r="E79" s="1"/>
  <c r="F77"/>
  <c r="C91" i="287" l="1"/>
  <c r="F90"/>
  <c r="C91" i="285"/>
  <c r="F90"/>
  <c r="D91" i="283"/>
  <c r="I91"/>
  <c r="D89" i="282"/>
  <c r="I89"/>
  <c r="D80" i="277"/>
  <c r="D79" i="273"/>
  <c r="I79"/>
  <c r="J86" i="279"/>
  <c r="C87"/>
  <c r="E87" s="1"/>
  <c r="F86"/>
  <c r="D79" i="262"/>
  <c r="H79" s="1"/>
  <c r="C79"/>
  <c r="C89" i="281"/>
  <c r="E89" s="1"/>
  <c r="F87"/>
  <c r="C87" i="280"/>
  <c r="E87" s="1"/>
  <c r="F86"/>
  <c r="I80" i="277"/>
  <c r="E91" i="287" l="1"/>
  <c r="I91" s="1"/>
  <c r="D91"/>
  <c r="E91" i="285"/>
  <c r="I91" s="1"/>
  <c r="D91"/>
  <c r="D89" i="281"/>
  <c r="D87" i="280"/>
  <c r="I87"/>
  <c r="I87" i="279"/>
  <c r="D87"/>
  <c r="C92" i="283"/>
  <c r="E92" s="1"/>
  <c r="F91"/>
  <c r="F89" i="282"/>
  <c r="C90"/>
  <c r="E90" s="1"/>
  <c r="B80" i="262"/>
  <c r="E79"/>
  <c r="I89" i="281"/>
  <c r="C81" i="277"/>
  <c r="E81" s="1"/>
  <c r="F80"/>
  <c r="F79" i="273"/>
  <c r="C80"/>
  <c r="E80" s="1"/>
  <c r="C92" i="287" l="1"/>
  <c r="F91"/>
  <c r="C92" i="285"/>
  <c r="F91"/>
  <c r="D92" i="283"/>
  <c r="I92"/>
  <c r="D90" i="282"/>
  <c r="I90"/>
  <c r="D81" i="277"/>
  <c r="D80" i="273"/>
  <c r="J87" i="279"/>
  <c r="C89"/>
  <c r="E89" s="1"/>
  <c r="F87"/>
  <c r="C80" i="262"/>
  <c r="D80"/>
  <c r="H80" s="1"/>
  <c r="C90" i="281"/>
  <c r="E90" s="1"/>
  <c r="F89"/>
  <c r="C89" i="280"/>
  <c r="E89" s="1"/>
  <c r="F87"/>
  <c r="I81" i="277"/>
  <c r="I80" i="273"/>
  <c r="D92" i="287" l="1"/>
  <c r="E92"/>
  <c r="I92" s="1"/>
  <c r="D92" i="285"/>
  <c r="E92"/>
  <c r="I92" s="1"/>
  <c r="I90" i="281"/>
  <c r="D90"/>
  <c r="D89" i="280"/>
  <c r="I89"/>
  <c r="I89" i="279"/>
  <c r="D89"/>
  <c r="H92" i="283"/>
  <c r="C94" s="1"/>
  <c r="E94" s="1"/>
  <c r="F92"/>
  <c r="F90" i="282"/>
  <c r="C91"/>
  <c r="E91" s="1"/>
  <c r="E80" i="262"/>
  <c r="B81"/>
  <c r="C82" i="277"/>
  <c r="E82" s="1"/>
  <c r="F81"/>
  <c r="F80" i="273"/>
  <c r="C81"/>
  <c r="E81" s="1"/>
  <c r="H92" i="287" l="1"/>
  <c r="C94" s="1"/>
  <c r="F92"/>
  <c r="H92" i="285"/>
  <c r="C94" s="1"/>
  <c r="F92"/>
  <c r="I94" i="283"/>
  <c r="D94"/>
  <c r="D91" i="282"/>
  <c r="I91"/>
  <c r="D82" i="277"/>
  <c r="D81" i="273"/>
  <c r="J89" i="279"/>
  <c r="C90"/>
  <c r="E90" s="1"/>
  <c r="F89"/>
  <c r="D81" i="262"/>
  <c r="H81" s="1"/>
  <c r="C81"/>
  <c r="C91" i="281"/>
  <c r="E91" s="1"/>
  <c r="F90"/>
  <c r="C90" i="280"/>
  <c r="E90" s="1"/>
  <c r="F89"/>
  <c r="I82" i="277"/>
  <c r="I81" i="273"/>
  <c r="D94" i="287" l="1"/>
  <c r="E94"/>
  <c r="I94" s="1"/>
  <c r="D94" i="285"/>
  <c r="E94"/>
  <c r="I94" s="1"/>
  <c r="D91" i="281"/>
  <c r="D90" i="280"/>
  <c r="I90"/>
  <c r="I90" i="279"/>
  <c r="D90"/>
  <c r="C95" i="283"/>
  <c r="E95" s="1"/>
  <c r="F94"/>
  <c r="F91" i="282"/>
  <c r="C92"/>
  <c r="E92" s="1"/>
  <c r="E81" i="262"/>
  <c r="B82"/>
  <c r="I91" i="281"/>
  <c r="C84" i="277"/>
  <c r="E84" s="1"/>
  <c r="F82"/>
  <c r="F81" i="273"/>
  <c r="C82"/>
  <c r="E82" s="1"/>
  <c r="C95" i="287" l="1"/>
  <c r="F94"/>
  <c r="C95" i="285"/>
  <c r="F94"/>
  <c r="D95" i="283"/>
  <c r="I95"/>
  <c r="D92" i="282"/>
  <c r="I92"/>
  <c r="D84" i="277"/>
  <c r="I82" i="273"/>
  <c r="D82"/>
  <c r="J90" i="279"/>
  <c r="C91"/>
  <c r="E91" s="1"/>
  <c r="F90"/>
  <c r="C82" i="262"/>
  <c r="D82"/>
  <c r="H82" s="1"/>
  <c r="C92" i="281"/>
  <c r="E92" s="1"/>
  <c r="F91"/>
  <c r="C91" i="280"/>
  <c r="E91" s="1"/>
  <c r="F90"/>
  <c r="I84" i="277"/>
  <c r="D95" i="287" l="1"/>
  <c r="E95"/>
  <c r="I95" s="1"/>
  <c r="D95" i="285"/>
  <c r="E95"/>
  <c r="I95" s="1"/>
  <c r="D92" i="281"/>
  <c r="D91" i="280"/>
  <c r="I91"/>
  <c r="I91" i="279"/>
  <c r="D91"/>
  <c r="F95" i="283"/>
  <c r="C96"/>
  <c r="E96" s="1"/>
  <c r="F92" i="282"/>
  <c r="H92"/>
  <c r="C94" s="1"/>
  <c r="E94" s="1"/>
  <c r="E82" i="262"/>
  <c r="B84"/>
  <c r="I92" i="281"/>
  <c r="C85" i="277"/>
  <c r="E85" s="1"/>
  <c r="F84"/>
  <c r="F82" i="273"/>
  <c r="C84"/>
  <c r="E84" s="1"/>
  <c r="F95" i="287" l="1"/>
  <c r="C96"/>
  <c r="F95" i="285"/>
  <c r="C96"/>
  <c r="D96" i="283"/>
  <c r="I96"/>
  <c r="D94" i="282"/>
  <c r="I94"/>
  <c r="D85" i="277"/>
  <c r="D84" i="273"/>
  <c r="I84"/>
  <c r="J91" i="279"/>
  <c r="C92"/>
  <c r="E92" s="1"/>
  <c r="F91"/>
  <c r="D84" i="262"/>
  <c r="H84" s="1"/>
  <c r="C84"/>
  <c r="H92" i="281"/>
  <c r="C94" s="1"/>
  <c r="E94" s="1"/>
  <c r="F92"/>
  <c r="C92" i="280"/>
  <c r="E92" s="1"/>
  <c r="F91"/>
  <c r="I85" i="277"/>
  <c r="D96" i="287" l="1"/>
  <c r="E96"/>
  <c r="I96" s="1"/>
  <c r="D96" i="285"/>
  <c r="E96"/>
  <c r="I96" s="1"/>
  <c r="D94" i="281"/>
  <c r="D92" i="280"/>
  <c r="I92"/>
  <c r="I92" i="279"/>
  <c r="D92"/>
  <c r="C97" i="283"/>
  <c r="E97" s="1"/>
  <c r="F96"/>
  <c r="C95" i="282"/>
  <c r="E95" s="1"/>
  <c r="F94"/>
  <c r="E84" i="262"/>
  <c r="B85"/>
  <c r="I94" i="281"/>
  <c r="C86" i="277"/>
  <c r="E86" s="1"/>
  <c r="F85"/>
  <c r="F84" i="273"/>
  <c r="C85"/>
  <c r="E85" s="1"/>
  <c r="C97" i="287" l="1"/>
  <c r="F96"/>
  <c r="C97" i="285"/>
  <c r="F96"/>
  <c r="D97" i="283"/>
  <c r="I97"/>
  <c r="D95" i="282"/>
  <c r="I95"/>
  <c r="D86" i="277"/>
  <c r="I85" i="273"/>
  <c r="D85"/>
  <c r="J92" i="279"/>
  <c r="C94"/>
  <c r="E94" s="1"/>
  <c r="F92"/>
  <c r="C85" i="262"/>
  <c r="D85"/>
  <c r="H85" s="1"/>
  <c r="C95" i="281"/>
  <c r="E95" s="1"/>
  <c r="F94"/>
  <c r="F92" i="280"/>
  <c r="H92"/>
  <c r="C94" s="1"/>
  <c r="E94" s="1"/>
  <c r="I86" i="277"/>
  <c r="D97" i="287" l="1"/>
  <c r="E97"/>
  <c r="I97" s="1"/>
  <c r="D97" i="285"/>
  <c r="E97"/>
  <c r="I97" s="1"/>
  <c r="I95" i="281"/>
  <c r="D95"/>
  <c r="D94" i="280"/>
  <c r="I94"/>
  <c r="I94" i="279"/>
  <c r="D94"/>
  <c r="F97" i="283"/>
  <c r="C99"/>
  <c r="E99" s="1"/>
  <c r="C96" i="282"/>
  <c r="E96" s="1"/>
  <c r="F95"/>
  <c r="E85" i="262"/>
  <c r="B86"/>
  <c r="C87" i="277"/>
  <c r="E87" s="1"/>
  <c r="F86"/>
  <c r="F85" i="273"/>
  <c r="C86"/>
  <c r="E86" s="1"/>
  <c r="F97" i="287" l="1"/>
  <c r="C99"/>
  <c r="F97" i="285"/>
  <c r="C99"/>
  <c r="I99" i="283"/>
  <c r="D99"/>
  <c r="D96" i="282"/>
  <c r="D87" i="277"/>
  <c r="I87"/>
  <c r="D86" i="273"/>
  <c r="I86"/>
  <c r="J94" i="279"/>
  <c r="C95"/>
  <c r="E95" s="1"/>
  <c r="F94"/>
  <c r="I96" i="282"/>
  <c r="C86" i="262"/>
  <c r="D86"/>
  <c r="H86" s="1"/>
  <c r="C96" i="281"/>
  <c r="E96" s="1"/>
  <c r="F95"/>
  <c r="C95" i="280"/>
  <c r="E95" s="1"/>
  <c r="F94"/>
  <c r="D99" i="287" l="1"/>
  <c r="E99"/>
  <c r="I99" s="1"/>
  <c r="D99" i="285"/>
  <c r="E99"/>
  <c r="I99" s="1"/>
  <c r="D96" i="281"/>
  <c r="I96"/>
  <c r="D95" i="280"/>
  <c r="I95"/>
  <c r="I95" i="279"/>
  <c r="D95"/>
  <c r="C100" i="283"/>
  <c r="E100" s="1"/>
  <c r="F99"/>
  <c r="C97" i="282"/>
  <c r="E97" s="1"/>
  <c r="F96"/>
  <c r="E86" i="262"/>
  <c r="B87"/>
  <c r="C89" i="277"/>
  <c r="E89" s="1"/>
  <c r="F87"/>
  <c r="F86" i="273"/>
  <c r="C87"/>
  <c r="E87" s="1"/>
  <c r="C100" i="287" l="1"/>
  <c r="F99"/>
  <c r="C100" i="285"/>
  <c r="F99"/>
  <c r="D100" i="283"/>
  <c r="I100"/>
  <c r="D97" i="282"/>
  <c r="I97"/>
  <c r="D89" i="277"/>
  <c r="I87" i="273"/>
  <c r="D87"/>
  <c r="J95" i="279"/>
  <c r="C96"/>
  <c r="E96" s="1"/>
  <c r="F95"/>
  <c r="C87" i="262"/>
  <c r="D87"/>
  <c r="H87" s="1"/>
  <c r="C97" i="281"/>
  <c r="E97" s="1"/>
  <c r="F96"/>
  <c r="C96" i="280"/>
  <c r="E96" s="1"/>
  <c r="F95"/>
  <c r="I89" i="277"/>
  <c r="D100" i="287" l="1"/>
  <c r="E100"/>
  <c r="I100" s="1"/>
  <c r="D100" i="285"/>
  <c r="E100"/>
  <c r="I100" s="1"/>
  <c r="D97" i="281"/>
  <c r="I97"/>
  <c r="D96" i="280"/>
  <c r="I96"/>
  <c r="D96" i="279"/>
  <c r="I96"/>
  <c r="F100" i="283"/>
  <c r="C101"/>
  <c r="E101" s="1"/>
  <c r="C99" i="282"/>
  <c r="E99" s="1"/>
  <c r="F97"/>
  <c r="E87" i="262"/>
  <c r="B89"/>
  <c r="C90" i="277"/>
  <c r="E90" s="1"/>
  <c r="F89"/>
  <c r="C89" i="273"/>
  <c r="E89" s="1"/>
  <c r="F87"/>
  <c r="F100" i="287" l="1"/>
  <c r="C101"/>
  <c r="F100" i="285"/>
  <c r="C101"/>
  <c r="D101" i="283"/>
  <c r="I101"/>
  <c r="D99" i="282"/>
  <c r="I99"/>
  <c r="D90" i="277"/>
  <c r="D89" i="273"/>
  <c r="I89"/>
  <c r="J96" i="279"/>
  <c r="C97"/>
  <c r="E97" s="1"/>
  <c r="F96"/>
  <c r="C89" i="262"/>
  <c r="D89"/>
  <c r="H89" s="1"/>
  <c r="C99" i="281"/>
  <c r="E99" s="1"/>
  <c r="F97"/>
  <c r="C97" i="280"/>
  <c r="E97" s="1"/>
  <c r="F96"/>
  <c r="I90" i="277"/>
  <c r="D101" i="287" l="1"/>
  <c r="E101"/>
  <c r="I101" s="1"/>
  <c r="D101" i="285"/>
  <c r="E101"/>
  <c r="I101" s="1"/>
  <c r="D99" i="281"/>
  <c r="I99"/>
  <c r="D97" i="280"/>
  <c r="I97"/>
  <c r="I97" i="279"/>
  <c r="D97"/>
  <c r="C102" i="283"/>
  <c r="E102" s="1"/>
  <c r="F101"/>
  <c r="C100" i="282"/>
  <c r="E100" s="1"/>
  <c r="F99"/>
  <c r="B90" i="262"/>
  <c r="E89"/>
  <c r="C91" i="277"/>
  <c r="E91" s="1"/>
  <c r="F90"/>
  <c r="F89" i="273"/>
  <c r="C90"/>
  <c r="E90" s="1"/>
  <c r="C102" i="287" l="1"/>
  <c r="F101"/>
  <c r="C102" i="285"/>
  <c r="F101"/>
  <c r="D102" i="283"/>
  <c r="I102"/>
  <c r="D100" i="282"/>
  <c r="I100"/>
  <c r="D91" i="277"/>
  <c r="I90" i="273"/>
  <c r="D90"/>
  <c r="J97" i="279"/>
  <c r="C99"/>
  <c r="E99" s="1"/>
  <c r="F97"/>
  <c r="C90" i="262"/>
  <c r="D90"/>
  <c r="H90" s="1"/>
  <c r="C100" i="281"/>
  <c r="E100" s="1"/>
  <c r="F99"/>
  <c r="C99" i="280"/>
  <c r="E99" s="1"/>
  <c r="F97"/>
  <c r="I91" i="277"/>
  <c r="D102" i="287" l="1"/>
  <c r="E102"/>
  <c r="I102" s="1"/>
  <c r="D102" i="285"/>
  <c r="E102"/>
  <c r="I102" s="1"/>
  <c r="I100" i="281"/>
  <c r="D100"/>
  <c r="D99" i="280"/>
  <c r="I99"/>
  <c r="I99" i="279"/>
  <c r="D99"/>
  <c r="F102" i="283"/>
  <c r="C104"/>
  <c r="E104" s="1"/>
  <c r="C101" i="282"/>
  <c r="E101" s="1"/>
  <c r="F100"/>
  <c r="E90" i="262"/>
  <c r="B91"/>
  <c r="C92" i="277"/>
  <c r="E92" s="1"/>
  <c r="F91"/>
  <c r="F90" i="273"/>
  <c r="C91"/>
  <c r="E91" s="1"/>
  <c r="F102" i="287" l="1"/>
  <c r="C104"/>
  <c r="F102" i="285"/>
  <c r="C104"/>
  <c r="I104" i="283"/>
  <c r="D104"/>
  <c r="D101" i="282"/>
  <c r="I101"/>
  <c r="D92" i="277"/>
  <c r="D91" i="273"/>
  <c r="I91"/>
  <c r="J99" i="279"/>
  <c r="C100"/>
  <c r="E100" s="1"/>
  <c r="F99"/>
  <c r="C91" i="262"/>
  <c r="D91"/>
  <c r="H91" s="1"/>
  <c r="C101" i="281"/>
  <c r="E101" s="1"/>
  <c r="F100"/>
  <c r="C100" i="280"/>
  <c r="E100" s="1"/>
  <c r="F99"/>
  <c r="I92" i="277"/>
  <c r="D104" i="287" l="1"/>
  <c r="E104"/>
  <c r="I104" s="1"/>
  <c r="D104" i="285"/>
  <c r="E104"/>
  <c r="I104" s="1"/>
  <c r="D101" i="281"/>
  <c r="I101"/>
  <c r="D100" i="280"/>
  <c r="I100"/>
  <c r="D100" i="279"/>
  <c r="I100"/>
  <c r="C105" i="283"/>
  <c r="E105" s="1"/>
  <c r="F104"/>
  <c r="C102" i="282"/>
  <c r="E102" s="1"/>
  <c r="F101"/>
  <c r="B93" i="262"/>
  <c r="E91"/>
  <c r="F92" i="277"/>
  <c r="H92"/>
  <c r="C94" s="1"/>
  <c r="E94" s="1"/>
  <c r="C92" i="273"/>
  <c r="E92" s="1"/>
  <c r="F91"/>
  <c r="C105" i="287" l="1"/>
  <c r="F104"/>
  <c r="C105" i="285"/>
  <c r="F104"/>
  <c r="D105" i="283"/>
  <c r="I105"/>
  <c r="D102" i="282"/>
  <c r="I102"/>
  <c r="D94" i="277"/>
  <c r="I94"/>
  <c r="I92" i="273"/>
  <c r="D92"/>
  <c r="H92" s="1"/>
  <c r="J100" i="279"/>
  <c r="F100"/>
  <c r="C101"/>
  <c r="E101" s="1"/>
  <c r="C93" i="262"/>
  <c r="D93"/>
  <c r="H93" s="1"/>
  <c r="C102" i="281"/>
  <c r="E102" s="1"/>
  <c r="F101"/>
  <c r="C101" i="280"/>
  <c r="E101" s="1"/>
  <c r="F100"/>
  <c r="D4" i="276"/>
  <c r="H4" s="1"/>
  <c r="D105" i="287" l="1"/>
  <c r="E105"/>
  <c r="I105" s="1"/>
  <c r="D105" i="285"/>
  <c r="E105"/>
  <c r="I105" s="1"/>
  <c r="D102" i="281"/>
  <c r="I102"/>
  <c r="D101" i="280"/>
  <c r="I101"/>
  <c r="D101" i="279"/>
  <c r="I101"/>
  <c r="F105" i="283"/>
  <c r="C106"/>
  <c r="E106" s="1"/>
  <c r="C104" i="282"/>
  <c r="E104" s="1"/>
  <c r="F102"/>
  <c r="B94" i="262"/>
  <c r="E93"/>
  <c r="C95" i="277"/>
  <c r="E95" s="1"/>
  <c r="F94"/>
  <c r="E4" i="276"/>
  <c r="C94" i="273"/>
  <c r="E94" s="1"/>
  <c r="F92"/>
  <c r="F105" i="287" l="1"/>
  <c r="C106"/>
  <c r="F105" i="285"/>
  <c r="C106"/>
  <c r="D106" i="283"/>
  <c r="I106"/>
  <c r="D104" i="282"/>
  <c r="I104"/>
  <c r="D95" i="277"/>
  <c r="D94" i="273"/>
  <c r="I94"/>
  <c r="J101" i="279"/>
  <c r="C102"/>
  <c r="E102" s="1"/>
  <c r="F101"/>
  <c r="C94" i="262"/>
  <c r="D94"/>
  <c r="H94" s="1"/>
  <c r="C104" i="281"/>
  <c r="E104" s="1"/>
  <c r="F102"/>
  <c r="C102" i="280"/>
  <c r="E102" s="1"/>
  <c r="F101"/>
  <c r="I95" i="277"/>
  <c r="D5" i="276"/>
  <c r="H5" s="1"/>
  <c r="D106" i="287" l="1"/>
  <c r="E106"/>
  <c r="I106" s="1"/>
  <c r="D106" i="285"/>
  <c r="E106"/>
  <c r="I106" s="1"/>
  <c r="D104" i="281"/>
  <c r="D102" i="280"/>
  <c r="D102" i="279"/>
  <c r="I102"/>
  <c r="C107" i="283"/>
  <c r="E107" s="1"/>
  <c r="F106"/>
  <c r="F104" i="282"/>
  <c r="C105"/>
  <c r="E105" s="1"/>
  <c r="E94" i="262"/>
  <c r="B95"/>
  <c r="I104" i="281"/>
  <c r="I102" i="280"/>
  <c r="C96" i="277"/>
  <c r="E96" s="1"/>
  <c r="F95"/>
  <c r="B6" i="276"/>
  <c r="C6" s="1"/>
  <c r="E5"/>
  <c r="C95" i="273"/>
  <c r="E95" s="1"/>
  <c r="F94"/>
  <c r="C107" i="287" l="1"/>
  <c r="F106"/>
  <c r="C107" i="285"/>
  <c r="F106"/>
  <c r="D107" i="283"/>
  <c r="I107"/>
  <c r="D105" i="282"/>
  <c r="I105"/>
  <c r="D96" i="277"/>
  <c r="I95" i="273"/>
  <c r="D95"/>
  <c r="J102" i="279"/>
  <c r="C104"/>
  <c r="E104" s="1"/>
  <c r="F102"/>
  <c r="C95" i="262"/>
  <c r="D95"/>
  <c r="H95" s="1"/>
  <c r="C105" i="281"/>
  <c r="E105" s="1"/>
  <c r="F104"/>
  <c r="C104" i="280"/>
  <c r="E104" s="1"/>
  <c r="F102"/>
  <c r="I96" i="277"/>
  <c r="D6" i="276"/>
  <c r="H6" s="1"/>
  <c r="D107" i="287" l="1"/>
  <c r="E107"/>
  <c r="I107" s="1"/>
  <c r="D107" i="285"/>
  <c r="E107"/>
  <c r="I107" s="1"/>
  <c r="I105" i="281"/>
  <c r="D105"/>
  <c r="D104" i="280"/>
  <c r="I104"/>
  <c r="I104" i="279"/>
  <c r="D104"/>
  <c r="F107" i="283"/>
  <c r="H107"/>
  <c r="C109" s="1"/>
  <c r="E109" s="1"/>
  <c r="F105" i="282"/>
  <c r="C106"/>
  <c r="E106" s="1"/>
  <c r="B96" i="262"/>
  <c r="E95"/>
  <c r="C97" i="277"/>
  <c r="E97" s="1"/>
  <c r="F96"/>
  <c r="B7" i="276"/>
  <c r="C7" s="1"/>
  <c r="E6"/>
  <c r="C96" i="273"/>
  <c r="E96" s="1"/>
  <c r="F95"/>
  <c r="F107" i="287" l="1"/>
  <c r="H107"/>
  <c r="C109" s="1"/>
  <c r="F107" i="285"/>
  <c r="H107"/>
  <c r="C109" s="1"/>
  <c r="I109" i="283"/>
  <c r="D109"/>
  <c r="D106" i="282"/>
  <c r="I106"/>
  <c r="D97" i="277"/>
  <c r="I97"/>
  <c r="D96" i="273"/>
  <c r="I96"/>
  <c r="J104" i="279"/>
  <c r="C105"/>
  <c r="E105" s="1"/>
  <c r="F104"/>
  <c r="C96" i="262"/>
  <c r="D96"/>
  <c r="H96" s="1"/>
  <c r="C106" i="281"/>
  <c r="E106" s="1"/>
  <c r="F105"/>
  <c r="C105" i="280"/>
  <c r="E105" s="1"/>
  <c r="F104"/>
  <c r="D7" i="276"/>
  <c r="H7" s="1"/>
  <c r="D109" i="287" l="1"/>
  <c r="E109"/>
  <c r="I109" s="1"/>
  <c r="D109" i="285"/>
  <c r="E109"/>
  <c r="I109" s="1"/>
  <c r="D106" i="281"/>
  <c r="D105" i="280"/>
  <c r="I105"/>
  <c r="D105" i="279"/>
  <c r="I105"/>
  <c r="C110" i="283"/>
  <c r="E110" s="1"/>
  <c r="F109"/>
  <c r="F106" i="282"/>
  <c r="C107"/>
  <c r="E107" s="1"/>
  <c r="B98" i="262"/>
  <c r="E96"/>
  <c r="I106" i="281"/>
  <c r="C99" i="277"/>
  <c r="E99" s="1"/>
  <c r="F97"/>
  <c r="B9" i="276"/>
  <c r="C9" s="1"/>
  <c r="E7"/>
  <c r="C97" i="273"/>
  <c r="E97" s="1"/>
  <c r="F96"/>
  <c r="C110" i="287" l="1"/>
  <c r="F109"/>
  <c r="C110" i="285"/>
  <c r="F109"/>
  <c r="D110" i="283"/>
  <c r="I110"/>
  <c r="D107" i="282"/>
  <c r="I107"/>
  <c r="D99" i="277"/>
  <c r="I97" i="273"/>
  <c r="D97"/>
  <c r="J105" i="279"/>
  <c r="C106"/>
  <c r="E106" s="1"/>
  <c r="F105"/>
  <c r="C98" i="262"/>
  <c r="D98"/>
  <c r="H98" s="1"/>
  <c r="C107" i="281"/>
  <c r="E107" s="1"/>
  <c r="F106"/>
  <c r="C106" i="280"/>
  <c r="E106" s="1"/>
  <c r="F105"/>
  <c r="I99" i="277"/>
  <c r="D9" i="276"/>
  <c r="H9" s="1"/>
  <c r="E110" i="287" l="1"/>
  <c r="I110" s="1"/>
  <c r="D110"/>
  <c r="E110" i="285"/>
  <c r="I110" s="1"/>
  <c r="D110"/>
  <c r="D107" i="281"/>
  <c r="D106" i="280"/>
  <c r="I106"/>
  <c r="D106" i="279"/>
  <c r="I106"/>
  <c r="C111" i="283"/>
  <c r="E111" s="1"/>
  <c r="F110"/>
  <c r="F107" i="282"/>
  <c r="H107"/>
  <c r="C109" s="1"/>
  <c r="E109" s="1"/>
  <c r="B99" i="262"/>
  <c r="E98"/>
  <c r="I107" i="281"/>
  <c r="C100" i="277"/>
  <c r="E100" s="1"/>
  <c r="F99"/>
  <c r="B10" i="276"/>
  <c r="C10" s="1"/>
  <c r="E9"/>
  <c r="F97" i="273"/>
  <c r="C99"/>
  <c r="E99" s="1"/>
  <c r="C111" i="287" l="1"/>
  <c r="F110"/>
  <c r="C111" i="285"/>
  <c r="F110"/>
  <c r="D111" i="283"/>
  <c r="I111"/>
  <c r="D109" i="282"/>
  <c r="I109"/>
  <c r="D100" i="277"/>
  <c r="D99" i="273"/>
  <c r="I99"/>
  <c r="J106" i="279"/>
  <c r="C107"/>
  <c r="E107" s="1"/>
  <c r="F106"/>
  <c r="C99" i="262"/>
  <c r="D99"/>
  <c r="H99" s="1"/>
  <c r="H107" i="281"/>
  <c r="C109" s="1"/>
  <c r="E109" s="1"/>
  <c r="F107"/>
  <c r="C107" i="280"/>
  <c r="E107" s="1"/>
  <c r="F106"/>
  <c r="I100" i="277"/>
  <c r="D10" i="276"/>
  <c r="H10" s="1"/>
  <c r="D111" i="287" l="1"/>
  <c r="E111"/>
  <c r="I111" s="1"/>
  <c r="D111" i="285"/>
  <c r="E111"/>
  <c r="I111" s="1"/>
  <c r="D109" i="281"/>
  <c r="I109"/>
  <c r="D107" i="280"/>
  <c r="D107" i="279"/>
  <c r="I107"/>
  <c r="C112" i="283"/>
  <c r="E112" s="1"/>
  <c r="F111"/>
  <c r="C110" i="282"/>
  <c r="E110" s="1"/>
  <c r="F109"/>
  <c r="E99" i="262"/>
  <c r="B100"/>
  <c r="I107" i="280"/>
  <c r="C101" i="277"/>
  <c r="E101" s="1"/>
  <c r="F100"/>
  <c r="B11" i="276"/>
  <c r="C11" s="1"/>
  <c r="E10"/>
  <c r="C100" i="273"/>
  <c r="E100" s="1"/>
  <c r="F99"/>
  <c r="C112" i="287" l="1"/>
  <c r="F111"/>
  <c r="C112" i="285"/>
  <c r="F111"/>
  <c r="D112" i="283"/>
  <c r="I112"/>
  <c r="D110" i="282"/>
  <c r="I110"/>
  <c r="D101" i="277"/>
  <c r="I101"/>
  <c r="I100" i="273"/>
  <c r="D100"/>
  <c r="J107" i="279"/>
  <c r="C109"/>
  <c r="E109" s="1"/>
  <c r="F107"/>
  <c r="C100" i="262"/>
  <c r="D100"/>
  <c r="H100" s="1"/>
  <c r="C110" i="281"/>
  <c r="E110" s="1"/>
  <c r="F109"/>
  <c r="H107" i="280"/>
  <c r="C109" s="1"/>
  <c r="E109" s="1"/>
  <c r="F107"/>
  <c r="D11" i="276"/>
  <c r="H11" s="1"/>
  <c r="E112" i="287" l="1"/>
  <c r="I112" s="1"/>
  <c r="D112"/>
  <c r="E112" i="285"/>
  <c r="I112" s="1"/>
  <c r="D112"/>
  <c r="I110" i="281"/>
  <c r="D110"/>
  <c r="D109" i="280"/>
  <c r="D109" i="279"/>
  <c r="I109"/>
  <c r="C114" i="283"/>
  <c r="E114" s="1"/>
  <c r="F112"/>
  <c r="C111" i="282"/>
  <c r="E111" s="1"/>
  <c r="F110"/>
  <c r="B101" i="262"/>
  <c r="E100"/>
  <c r="I109" i="280"/>
  <c r="C102" i="277"/>
  <c r="E102" s="1"/>
  <c r="F101"/>
  <c r="B12" i="276"/>
  <c r="C12" s="1"/>
  <c r="E11"/>
  <c r="C101" i="273"/>
  <c r="E101" s="1"/>
  <c r="F100"/>
  <c r="C114" i="287" l="1"/>
  <c r="F112"/>
  <c r="C114" i="285"/>
  <c r="F112"/>
  <c r="I114" i="283"/>
  <c r="D114"/>
  <c r="D111" i="282"/>
  <c r="I111"/>
  <c r="D102" i="277"/>
  <c r="I102"/>
  <c r="D101" i="273"/>
  <c r="I101"/>
  <c r="J109" i="279"/>
  <c r="C110"/>
  <c r="E110" s="1"/>
  <c r="F109"/>
  <c r="C101" i="262"/>
  <c r="D101"/>
  <c r="H101" s="1"/>
  <c r="C111" i="281"/>
  <c r="E111" s="1"/>
  <c r="F110"/>
  <c r="C110" i="280"/>
  <c r="E110" s="1"/>
  <c r="F109"/>
  <c r="D12" i="276"/>
  <c r="H12" s="1"/>
  <c r="D114" i="287" l="1"/>
  <c r="E114"/>
  <c r="I114" s="1"/>
  <c r="D114" i="285"/>
  <c r="E114"/>
  <c r="I114" s="1"/>
  <c r="D111" i="281"/>
  <c r="D110" i="280"/>
  <c r="D110" i="279"/>
  <c r="I110"/>
  <c r="C115" i="283"/>
  <c r="E115" s="1"/>
  <c r="F114"/>
  <c r="C112" i="282"/>
  <c r="E112" s="1"/>
  <c r="F111"/>
  <c r="E101" i="262"/>
  <c r="B103"/>
  <c r="I111" i="281"/>
  <c r="I110" i="280"/>
  <c r="C104" i="277"/>
  <c r="E104" s="1"/>
  <c r="F102"/>
  <c r="B14" i="276"/>
  <c r="C14" s="1"/>
  <c r="E12"/>
  <c r="C102" i="273"/>
  <c r="E102" s="1"/>
  <c r="F101"/>
  <c r="C115" i="287" l="1"/>
  <c r="F114"/>
  <c r="C115" i="285"/>
  <c r="F114"/>
  <c r="D115" i="283"/>
  <c r="I115"/>
  <c r="D112" i="282"/>
  <c r="I112"/>
  <c r="D104" i="277"/>
  <c r="I102" i="273"/>
  <c r="D102"/>
  <c r="J110" i="279"/>
  <c r="C111"/>
  <c r="E111" s="1"/>
  <c r="F110"/>
  <c r="C103" i="262"/>
  <c r="D103"/>
  <c r="H103" s="1"/>
  <c r="C112" i="281"/>
  <c r="E112" s="1"/>
  <c r="F111"/>
  <c r="C111" i="280"/>
  <c r="E111" s="1"/>
  <c r="F110"/>
  <c r="I104" i="277"/>
  <c r="D14" i="276"/>
  <c r="E115" i="287" l="1"/>
  <c r="I115" s="1"/>
  <c r="D115"/>
  <c r="E115" i="285"/>
  <c r="I115" s="1"/>
  <c r="D115"/>
  <c r="D112" i="281"/>
  <c r="D111" i="280"/>
  <c r="I111"/>
  <c r="I111" i="279"/>
  <c r="D111"/>
  <c r="C116" i="283"/>
  <c r="E116" s="1"/>
  <c r="F115"/>
  <c r="C114" i="282"/>
  <c r="E114" s="1"/>
  <c r="F112"/>
  <c r="E103" i="262"/>
  <c r="B104"/>
  <c r="C104" s="1"/>
  <c r="H14" i="276"/>
  <c r="I112" i="281"/>
  <c r="C105" i="277"/>
  <c r="E105" s="1"/>
  <c r="F104"/>
  <c r="B15" i="276"/>
  <c r="C15" s="1"/>
  <c r="E14"/>
  <c r="F102" i="273"/>
  <c r="C104"/>
  <c r="E104" s="1"/>
  <c r="C116" i="287" l="1"/>
  <c r="F115"/>
  <c r="C116" i="285"/>
  <c r="F115"/>
  <c r="D116" i="283"/>
  <c r="I116"/>
  <c r="D114" i="282"/>
  <c r="I114"/>
  <c r="D105" i="277"/>
  <c r="D104" i="273"/>
  <c r="I104"/>
  <c r="J111" i="279"/>
  <c r="C112"/>
  <c r="E112" s="1"/>
  <c r="F111"/>
  <c r="D104" i="262"/>
  <c r="H104" s="1"/>
  <c r="C114" i="281"/>
  <c r="E114" s="1"/>
  <c r="F112"/>
  <c r="C112" i="280"/>
  <c r="E112" s="1"/>
  <c r="F111"/>
  <c r="I105" i="277"/>
  <c r="D15" i="276"/>
  <c r="D116" i="287" l="1"/>
  <c r="E116"/>
  <c r="I116" s="1"/>
  <c r="D116" i="285"/>
  <c r="E116"/>
  <c r="I116" s="1"/>
  <c r="D114" i="281"/>
  <c r="D112" i="280"/>
  <c r="D112" i="279"/>
  <c r="I112"/>
  <c r="C117" i="283"/>
  <c r="E117" s="1"/>
  <c r="F116"/>
  <c r="C115" i="282"/>
  <c r="E115" s="1"/>
  <c r="F114"/>
  <c r="E104" i="262"/>
  <c r="B105"/>
  <c r="C105" s="1"/>
  <c r="H15" i="276"/>
  <c r="I114" i="281"/>
  <c r="I112" i="280"/>
  <c r="C106" i="277"/>
  <c r="E106" s="1"/>
  <c r="F105"/>
  <c r="B16" i="276"/>
  <c r="C16" s="1"/>
  <c r="E15"/>
  <c r="C105" i="273"/>
  <c r="E105" s="1"/>
  <c r="F104"/>
  <c r="C117" i="287" l="1"/>
  <c r="F116"/>
  <c r="C117" i="285"/>
  <c r="F116"/>
  <c r="D117" i="283"/>
  <c r="I117"/>
  <c r="D115" i="282"/>
  <c r="I115"/>
  <c r="D106" i="277"/>
  <c r="I105" i="273"/>
  <c r="D105"/>
  <c r="J112" i="279"/>
  <c r="F112"/>
  <c r="C114"/>
  <c r="E114" s="1"/>
  <c r="D105" i="262"/>
  <c r="H105" s="1"/>
  <c r="C115" i="281"/>
  <c r="E115" s="1"/>
  <c r="F114"/>
  <c r="C114" i="280"/>
  <c r="E114" s="1"/>
  <c r="F112"/>
  <c r="I106" i="277"/>
  <c r="D16" i="276"/>
  <c r="H16" s="1"/>
  <c r="E117" i="287" l="1"/>
  <c r="I117" s="1"/>
  <c r="D117"/>
  <c r="E117" i="285"/>
  <c r="I117" s="1"/>
  <c r="D117"/>
  <c r="I115" i="281"/>
  <c r="D115"/>
  <c r="D114" i="280"/>
  <c r="I114"/>
  <c r="D114" i="279"/>
  <c r="I114"/>
  <c r="C119" i="283"/>
  <c r="E119" s="1"/>
  <c r="F117"/>
  <c r="C116" i="282"/>
  <c r="E116" s="1"/>
  <c r="F115"/>
  <c r="E105" i="262"/>
  <c r="B106"/>
  <c r="C106" s="1"/>
  <c r="C107" i="277"/>
  <c r="E107" s="1"/>
  <c r="F106"/>
  <c r="B17" i="276"/>
  <c r="C17" s="1"/>
  <c r="E16"/>
  <c r="C106" i="273"/>
  <c r="E106" s="1"/>
  <c r="F105"/>
  <c r="C119" i="287" l="1"/>
  <c r="F117"/>
  <c r="C119" i="285"/>
  <c r="F117"/>
  <c r="I119" i="283"/>
  <c r="D119"/>
  <c r="D116" i="282"/>
  <c r="I116"/>
  <c r="D107" i="277"/>
  <c r="D106" i="273"/>
  <c r="I106"/>
  <c r="J114" i="279"/>
  <c r="F114"/>
  <c r="C115"/>
  <c r="E115" s="1"/>
  <c r="D106" i="262"/>
  <c r="H106" s="1"/>
  <c r="C116" i="281"/>
  <c r="E116" s="1"/>
  <c r="F115"/>
  <c r="C115" i="280"/>
  <c r="E115" s="1"/>
  <c r="F114"/>
  <c r="I107" i="277"/>
  <c r="D17" i="276"/>
  <c r="H17" s="1"/>
  <c r="D119" i="287" l="1"/>
  <c r="E119"/>
  <c r="I119" s="1"/>
  <c r="D119" i="285"/>
  <c r="E119"/>
  <c r="I119" s="1"/>
  <c r="D116" i="281"/>
  <c r="D115" i="280"/>
  <c r="D115" i="279"/>
  <c r="I115"/>
  <c r="C120" i="283"/>
  <c r="E120" s="1"/>
  <c r="F119"/>
  <c r="C117" i="282"/>
  <c r="E117" s="1"/>
  <c r="F116"/>
  <c r="B108" i="262"/>
  <c r="C108" s="1"/>
  <c r="E106"/>
  <c r="I116" i="281"/>
  <c r="I115" i="280"/>
  <c r="H107" i="277"/>
  <c r="C109" s="1"/>
  <c r="E109" s="1"/>
  <c r="F107"/>
  <c r="B19" i="276"/>
  <c r="C19" s="1"/>
  <c r="E17"/>
  <c r="C107" i="273"/>
  <c r="E107" s="1"/>
  <c r="F106"/>
  <c r="C120" i="287" l="1"/>
  <c r="F119"/>
  <c r="C120" i="285"/>
  <c r="F119"/>
  <c r="D120" i="283"/>
  <c r="I120"/>
  <c r="D117" i="282"/>
  <c r="I117"/>
  <c r="D109" i="277"/>
  <c r="I107" i="273"/>
  <c r="D107"/>
  <c r="H107" s="1"/>
  <c r="J115" i="279"/>
  <c r="C116"/>
  <c r="E116" s="1"/>
  <c r="F115"/>
  <c r="D108" i="262"/>
  <c r="H108" s="1"/>
  <c r="C117" i="281"/>
  <c r="E117" s="1"/>
  <c r="F116"/>
  <c r="C116" i="280"/>
  <c r="E116" s="1"/>
  <c r="F115"/>
  <c r="I109" i="277"/>
  <c r="D19" i="276"/>
  <c r="H19" s="1"/>
  <c r="E120" i="287" l="1"/>
  <c r="I120" s="1"/>
  <c r="D120"/>
  <c r="E120" i="285"/>
  <c r="I120" s="1"/>
  <c r="D120"/>
  <c r="D117" i="281"/>
  <c r="D116" i="280"/>
  <c r="D116" i="279"/>
  <c r="I116"/>
  <c r="C121" i="283"/>
  <c r="E121" s="1"/>
  <c r="F120"/>
  <c r="C119" i="282"/>
  <c r="E119" s="1"/>
  <c r="F117"/>
  <c r="E108" i="262"/>
  <c r="B109"/>
  <c r="C109" s="1"/>
  <c r="I117" i="281"/>
  <c r="I116" i="280"/>
  <c r="C110" i="277"/>
  <c r="E110" s="1"/>
  <c r="F109"/>
  <c r="B20" i="276"/>
  <c r="C20" s="1"/>
  <c r="E19"/>
  <c r="F107" i="273"/>
  <c r="C109"/>
  <c r="E109" s="1"/>
  <c r="C121" i="287" l="1"/>
  <c r="F120"/>
  <c r="C121" i="285"/>
  <c r="F120"/>
  <c r="D121" i="283"/>
  <c r="I121"/>
  <c r="D119" i="282"/>
  <c r="I119"/>
  <c r="D110" i="277"/>
  <c r="D109" i="273"/>
  <c r="I109"/>
  <c r="J116" i="279"/>
  <c r="F116"/>
  <c r="C117"/>
  <c r="E117" s="1"/>
  <c r="D109" i="262"/>
  <c r="H109" s="1"/>
  <c r="C119" i="281"/>
  <c r="E119" s="1"/>
  <c r="F117"/>
  <c r="C117" i="280"/>
  <c r="E117" s="1"/>
  <c r="F116"/>
  <c r="I110" i="277"/>
  <c r="D20" i="276"/>
  <c r="H20" s="1"/>
  <c r="D121" i="287" l="1"/>
  <c r="E121"/>
  <c r="I121" s="1"/>
  <c r="D121" i="285"/>
  <c r="E121"/>
  <c r="I121" s="1"/>
  <c r="D119" i="281"/>
  <c r="D117" i="280"/>
  <c r="D117" i="279"/>
  <c r="I117"/>
  <c r="C122" i="283"/>
  <c r="E122" s="1"/>
  <c r="F121"/>
  <c r="C120" i="282"/>
  <c r="E120" s="1"/>
  <c r="F119"/>
  <c r="B110" i="262"/>
  <c r="E109"/>
  <c r="I119" i="281"/>
  <c r="I117" i="280"/>
  <c r="C111" i="277"/>
  <c r="E111" s="1"/>
  <c r="F110"/>
  <c r="B21" i="276"/>
  <c r="E20"/>
  <c r="F109" i="273"/>
  <c r="C110"/>
  <c r="E110" s="1"/>
  <c r="C122" i="287" l="1"/>
  <c r="F121"/>
  <c r="C122" i="285"/>
  <c r="F121"/>
  <c r="D21" i="276"/>
  <c r="H21" s="1"/>
  <c r="C21"/>
  <c r="D122" i="283"/>
  <c r="I122"/>
  <c r="D120" i="282"/>
  <c r="I120"/>
  <c r="D111" i="277"/>
  <c r="I111"/>
  <c r="I110" i="273"/>
  <c r="D110"/>
  <c r="J117" i="279"/>
  <c r="C119"/>
  <c r="E119" s="1"/>
  <c r="F117"/>
  <c r="D110" i="262"/>
  <c r="H110" s="1"/>
  <c r="C110"/>
  <c r="C120" i="281"/>
  <c r="E120" s="1"/>
  <c r="F119"/>
  <c r="C119" i="280"/>
  <c r="E119" s="1"/>
  <c r="F117"/>
  <c r="E122" i="287" l="1"/>
  <c r="I122" s="1"/>
  <c r="D122"/>
  <c r="E122" i="285"/>
  <c r="I122" s="1"/>
  <c r="D122"/>
  <c r="I120" i="281"/>
  <c r="D120"/>
  <c r="D119" i="280"/>
  <c r="I119"/>
  <c r="D119" i="279"/>
  <c r="I119"/>
  <c r="F122" i="283"/>
  <c r="H122"/>
  <c r="C124" s="1"/>
  <c r="E124" s="1"/>
  <c r="C121" i="282"/>
  <c r="E121" s="1"/>
  <c r="F120"/>
  <c r="E110" i="262"/>
  <c r="B111"/>
  <c r="C112" i="277"/>
  <c r="E112" s="1"/>
  <c r="F111"/>
  <c r="B22" i="276"/>
  <c r="E21"/>
  <c r="F110" i="273"/>
  <c r="C111"/>
  <c r="E111" s="1"/>
  <c r="F122" i="287" l="1"/>
  <c r="H122"/>
  <c r="C124" s="1"/>
  <c r="F122" i="285"/>
  <c r="H122"/>
  <c r="C124" s="1"/>
  <c r="C22" i="276"/>
  <c r="D22"/>
  <c r="H22" s="1"/>
  <c r="I124" i="283"/>
  <c r="D124"/>
  <c r="D121" i="282"/>
  <c r="I121"/>
  <c r="D112" i="277"/>
  <c r="I112"/>
  <c r="D111" i="273"/>
  <c r="I111"/>
  <c r="J119" i="279"/>
  <c r="C120"/>
  <c r="E120" s="1"/>
  <c r="F119"/>
  <c r="D111" i="262"/>
  <c r="H111" s="1"/>
  <c r="C111"/>
  <c r="C121" i="281"/>
  <c r="E121" s="1"/>
  <c r="F120"/>
  <c r="C120" i="280"/>
  <c r="E120" s="1"/>
  <c r="F119"/>
  <c r="D124" i="287" l="1"/>
  <c r="E124"/>
  <c r="I124" s="1"/>
  <c r="D124" i="285"/>
  <c r="E124"/>
  <c r="I124" s="1"/>
  <c r="D121" i="281"/>
  <c r="D120" i="280"/>
  <c r="I120"/>
  <c r="D120" i="279"/>
  <c r="I120"/>
  <c r="F124" i="283"/>
  <c r="C125"/>
  <c r="E125" s="1"/>
  <c r="C122" i="282"/>
  <c r="E122" s="1"/>
  <c r="F121"/>
  <c r="E111" i="262"/>
  <c r="B113"/>
  <c r="I121" i="281"/>
  <c r="C114" i="277"/>
  <c r="E114" s="1"/>
  <c r="F112"/>
  <c r="B24" i="276"/>
  <c r="E22"/>
  <c r="F111" i="273"/>
  <c r="C112"/>
  <c r="E112" s="1"/>
  <c r="F124" i="287" l="1"/>
  <c r="C125"/>
  <c r="F124" i="285"/>
  <c r="C125"/>
  <c r="D24" i="276"/>
  <c r="C24"/>
  <c r="D125" i="283"/>
  <c r="I125"/>
  <c r="D122" i="282"/>
  <c r="I122"/>
  <c r="D114" i="277"/>
  <c r="I114"/>
  <c r="I112" i="273"/>
  <c r="D112"/>
  <c r="J120" i="279"/>
  <c r="C121"/>
  <c r="E121" s="1"/>
  <c r="F120"/>
  <c r="D113" i="262"/>
  <c r="H113" s="1"/>
  <c r="C113"/>
  <c r="C122" i="281"/>
  <c r="E122" s="1"/>
  <c r="F121"/>
  <c r="C121" i="280"/>
  <c r="E121" s="1"/>
  <c r="F120"/>
  <c r="H24" i="276"/>
  <c r="D125" i="287" l="1"/>
  <c r="E125"/>
  <c r="I125" s="1"/>
  <c r="D125" i="285"/>
  <c r="E125"/>
  <c r="I125" s="1"/>
  <c r="D122" i="281"/>
  <c r="D121" i="280"/>
  <c r="I121"/>
  <c r="D121" i="279"/>
  <c r="I121"/>
  <c r="C126" i="283"/>
  <c r="E126" s="1"/>
  <c r="F125"/>
  <c r="H122" i="282"/>
  <c r="C124" s="1"/>
  <c r="E124" s="1"/>
  <c r="F122"/>
  <c r="E113" i="262"/>
  <c r="B114"/>
  <c r="I122" i="281"/>
  <c r="C115" i="277"/>
  <c r="E115" s="1"/>
  <c r="F114"/>
  <c r="B25" i="276"/>
  <c r="E24"/>
  <c r="F112" i="273"/>
  <c r="C114"/>
  <c r="E114" s="1"/>
  <c r="C126" i="287" l="1"/>
  <c r="F125"/>
  <c r="C126" i="285"/>
  <c r="F125"/>
  <c r="D25" i="276"/>
  <c r="H25" s="1"/>
  <c r="C25"/>
  <c r="D126" i="283"/>
  <c r="I126"/>
  <c r="D124" i="282"/>
  <c r="I124"/>
  <c r="D115" i="277"/>
  <c r="I115"/>
  <c r="D114" i="273"/>
  <c r="I114"/>
  <c r="J121" i="279"/>
  <c r="C122"/>
  <c r="E122" s="1"/>
  <c r="F121"/>
  <c r="D114" i="262"/>
  <c r="H114" s="1"/>
  <c r="C114"/>
  <c r="F122" i="281"/>
  <c r="H122"/>
  <c r="C124" s="1"/>
  <c r="E124" s="1"/>
  <c r="C122" i="280"/>
  <c r="E122" s="1"/>
  <c r="F121"/>
  <c r="D126" i="287" l="1"/>
  <c r="E126"/>
  <c r="I126" s="1"/>
  <c r="D126" i="285"/>
  <c r="E126"/>
  <c r="I126" s="1"/>
  <c r="D124" i="281"/>
  <c r="I124"/>
  <c r="D122" i="280"/>
  <c r="I122"/>
  <c r="D122" i="279"/>
  <c r="I122"/>
  <c r="F126" i="283"/>
  <c r="C127"/>
  <c r="E127" s="1"/>
  <c r="F124" i="282"/>
  <c r="C125"/>
  <c r="E125" s="1"/>
  <c r="E114" i="262"/>
  <c r="B115"/>
  <c r="C116" i="277"/>
  <c r="E116" s="1"/>
  <c r="F115"/>
  <c r="B26" i="276"/>
  <c r="E25"/>
  <c r="F114" i="273"/>
  <c r="C115"/>
  <c r="E115" s="1"/>
  <c r="F126" i="287" l="1"/>
  <c r="C127"/>
  <c r="F126" i="285"/>
  <c r="C127"/>
  <c r="D26" i="276"/>
  <c r="H26" s="1"/>
  <c r="C26"/>
  <c r="D127" i="283"/>
  <c r="I127"/>
  <c r="D125" i="282"/>
  <c r="I125"/>
  <c r="D116" i="277"/>
  <c r="I116"/>
  <c r="I115" i="273"/>
  <c r="D115"/>
  <c r="J122" i="279"/>
  <c r="C124"/>
  <c r="E124" s="1"/>
  <c r="F122"/>
  <c r="D115" i="262"/>
  <c r="H115" s="1"/>
  <c r="C115"/>
  <c r="C125" i="281"/>
  <c r="E125" s="1"/>
  <c r="F124"/>
  <c r="F122" i="280"/>
  <c r="H122"/>
  <c r="C124" s="1"/>
  <c r="E124" s="1"/>
  <c r="D127" i="287" l="1"/>
  <c r="E127"/>
  <c r="I127" s="1"/>
  <c r="D127" i="285"/>
  <c r="E127"/>
  <c r="I127" s="1"/>
  <c r="I125" i="281"/>
  <c r="D125"/>
  <c r="D124" i="280"/>
  <c r="I124"/>
  <c r="D124" i="279"/>
  <c r="I124"/>
  <c r="C129" i="283"/>
  <c r="E129" s="1"/>
  <c r="F127"/>
  <c r="F125" i="282"/>
  <c r="C126"/>
  <c r="E126" s="1"/>
  <c r="E115" i="262"/>
  <c r="B116"/>
  <c r="C117" i="277"/>
  <c r="E117" s="1"/>
  <c r="F116"/>
  <c r="B27" i="276"/>
  <c r="E26"/>
  <c r="F115" i="273"/>
  <c r="C116"/>
  <c r="E116" s="1"/>
  <c r="C129" i="287" l="1"/>
  <c r="F127"/>
  <c r="C129" i="285"/>
  <c r="F127"/>
  <c r="D27" i="276"/>
  <c r="H27" s="1"/>
  <c r="C27"/>
  <c r="I129" i="283"/>
  <c r="D129"/>
  <c r="D126" i="282"/>
  <c r="I126"/>
  <c r="D117" i="277"/>
  <c r="I117"/>
  <c r="D116" i="273"/>
  <c r="I116"/>
  <c r="J124" i="279"/>
  <c r="C125"/>
  <c r="E125" s="1"/>
  <c r="F124"/>
  <c r="D116" i="262"/>
  <c r="H116" s="1"/>
  <c r="C116"/>
  <c r="C126" i="281"/>
  <c r="E126" s="1"/>
  <c r="F125"/>
  <c r="C125" i="280"/>
  <c r="E125" s="1"/>
  <c r="F124"/>
  <c r="D129" i="287" l="1"/>
  <c r="E129"/>
  <c r="I129" s="1"/>
  <c r="D129" i="285"/>
  <c r="E129"/>
  <c r="I129" s="1"/>
  <c r="D126" i="281"/>
  <c r="I126"/>
  <c r="D125" i="280"/>
  <c r="I125"/>
  <c r="D125" i="279"/>
  <c r="I125"/>
  <c r="F129" i="283"/>
  <c r="C130"/>
  <c r="E130" s="1"/>
  <c r="F126" i="282"/>
  <c r="C127"/>
  <c r="E127" s="1"/>
  <c r="E116" i="262"/>
  <c r="B118"/>
  <c r="C119" i="277"/>
  <c r="E119" s="1"/>
  <c r="F117"/>
  <c r="B29" i="276"/>
  <c r="E27"/>
  <c r="F116" i="273"/>
  <c r="C117"/>
  <c r="E117" s="1"/>
  <c r="F129" i="287" l="1"/>
  <c r="C130"/>
  <c r="F129" i="285"/>
  <c r="C130"/>
  <c r="D29" i="276"/>
  <c r="H29" s="1"/>
  <c r="C29"/>
  <c r="D130" i="283"/>
  <c r="D127" i="282"/>
  <c r="D119" i="277"/>
  <c r="I119"/>
  <c r="I117" i="273"/>
  <c r="D117"/>
  <c r="J125" i="279"/>
  <c r="C126"/>
  <c r="E126" s="1"/>
  <c r="F125"/>
  <c r="D118" i="262"/>
  <c r="H118" s="1"/>
  <c r="C118"/>
  <c r="I130" i="283"/>
  <c r="I127" i="282"/>
  <c r="C127" i="281"/>
  <c r="E127" s="1"/>
  <c r="F126"/>
  <c r="C126" i="280"/>
  <c r="E126" s="1"/>
  <c r="F125"/>
  <c r="D130" i="287" l="1"/>
  <c r="E130"/>
  <c r="I130" s="1"/>
  <c r="D130" i="285"/>
  <c r="E130"/>
  <c r="I130" s="1"/>
  <c r="D127" i="281"/>
  <c r="D126" i="280"/>
  <c r="I126"/>
  <c r="D126" i="279"/>
  <c r="I126"/>
  <c r="C131" i="283"/>
  <c r="E131" s="1"/>
  <c r="F130"/>
  <c r="F127" i="282"/>
  <c r="C129"/>
  <c r="E129" s="1"/>
  <c r="E118" i="262"/>
  <c r="B119"/>
  <c r="I127" i="281"/>
  <c r="C120" i="277"/>
  <c r="E120" s="1"/>
  <c r="F119"/>
  <c r="B30" i="276"/>
  <c r="E29"/>
  <c r="C119" i="273"/>
  <c r="E119" s="1"/>
  <c r="F117"/>
  <c r="C131" i="287" l="1"/>
  <c r="F130"/>
  <c r="C131" i="285"/>
  <c r="F130"/>
  <c r="D30" i="276"/>
  <c r="H30" s="1"/>
  <c r="C30"/>
  <c r="D131" i="283"/>
  <c r="I131"/>
  <c r="D129" i="282"/>
  <c r="D120" i="277"/>
  <c r="I120"/>
  <c r="D119" i="273"/>
  <c r="I119"/>
  <c r="J126" i="279"/>
  <c r="F126"/>
  <c r="C127"/>
  <c r="E127" s="1"/>
  <c r="D119" i="262"/>
  <c r="H119" s="1"/>
  <c r="C119"/>
  <c r="I129" i="282"/>
  <c r="C129" i="281"/>
  <c r="E129" s="1"/>
  <c r="F127"/>
  <c r="C127" i="280"/>
  <c r="E127" s="1"/>
  <c r="F126"/>
  <c r="D131" i="287" l="1"/>
  <c r="E131"/>
  <c r="I131" s="1"/>
  <c r="D131" i="285"/>
  <c r="E131"/>
  <c r="I131" s="1"/>
  <c r="D129" i="281"/>
  <c r="D127" i="280"/>
  <c r="D127" i="279"/>
  <c r="I127"/>
  <c r="F131" i="283"/>
  <c r="C132"/>
  <c r="E132" s="1"/>
  <c r="F129" i="282"/>
  <c r="C130"/>
  <c r="E130" s="1"/>
  <c r="E119" i="262"/>
  <c r="B120"/>
  <c r="I129" i="281"/>
  <c r="I127" i="280"/>
  <c r="C121" i="277"/>
  <c r="E121" s="1"/>
  <c r="F120"/>
  <c r="B31" i="276"/>
  <c r="E30"/>
  <c r="F119" i="273"/>
  <c r="C120"/>
  <c r="E120" s="1"/>
  <c r="F131" i="287" l="1"/>
  <c r="C132"/>
  <c r="D120" i="262"/>
  <c r="H120" s="1"/>
  <c r="C120"/>
  <c r="F131" i="285"/>
  <c r="C132"/>
  <c r="D31" i="276"/>
  <c r="H31" s="1"/>
  <c r="C31"/>
  <c r="D132" i="283"/>
  <c r="I132"/>
  <c r="D130" i="282"/>
  <c r="I130"/>
  <c r="D121" i="277"/>
  <c r="I121"/>
  <c r="D120" i="273"/>
  <c r="J127" i="279"/>
  <c r="C129"/>
  <c r="E129" s="1"/>
  <c r="F127"/>
  <c r="C130" i="281"/>
  <c r="E130" s="1"/>
  <c r="F129"/>
  <c r="C129" i="280"/>
  <c r="E129" s="1"/>
  <c r="F127"/>
  <c r="I120" i="273"/>
  <c r="D132" i="287" l="1"/>
  <c r="E132"/>
  <c r="I132" s="1"/>
  <c r="D132" i="285"/>
  <c r="E132"/>
  <c r="I132" s="1"/>
  <c r="I130" i="281"/>
  <c r="D130"/>
  <c r="D129" i="280"/>
  <c r="I129"/>
  <c r="I129" i="279"/>
  <c r="D129"/>
  <c r="C134" i="283"/>
  <c r="E134" s="1"/>
  <c r="F132"/>
  <c r="F130" i="282"/>
  <c r="C131"/>
  <c r="E131" s="1"/>
  <c r="E120" i="262"/>
  <c r="B121"/>
  <c r="C122" i="277"/>
  <c r="E122" s="1"/>
  <c r="F121"/>
  <c r="B32" i="276"/>
  <c r="E31"/>
  <c r="F120" i="273"/>
  <c r="C121"/>
  <c r="E121" s="1"/>
  <c r="C134" i="287" l="1"/>
  <c r="F132"/>
  <c r="D121" i="262"/>
  <c r="H121" s="1"/>
  <c r="C121"/>
  <c r="C134" i="285"/>
  <c r="F132"/>
  <c r="I134" i="283"/>
  <c r="D134"/>
  <c r="D131" i="282"/>
  <c r="D122" i="277"/>
  <c r="I122"/>
  <c r="D121" i="273"/>
  <c r="I121"/>
  <c r="J129" i="279"/>
  <c r="C130"/>
  <c r="E130" s="1"/>
  <c r="F129"/>
  <c r="D32" i="276"/>
  <c r="H32" s="1"/>
  <c r="C32"/>
  <c r="B34" s="1"/>
  <c r="C34" s="1"/>
  <c r="I131" i="282"/>
  <c r="C131" i="281"/>
  <c r="E131" s="1"/>
  <c r="F130"/>
  <c r="C130" i="280"/>
  <c r="E130" s="1"/>
  <c r="F129"/>
  <c r="D134" i="287" l="1"/>
  <c r="E134"/>
  <c r="I134" s="1"/>
  <c r="D134" i="285"/>
  <c r="E134"/>
  <c r="I134" s="1"/>
  <c r="D131" i="281"/>
  <c r="I131"/>
  <c r="D130" i="280"/>
  <c r="D130" i="279"/>
  <c r="I130"/>
  <c r="F134" i="283"/>
  <c r="C135"/>
  <c r="E135" s="1"/>
  <c r="F131" i="282"/>
  <c r="C132"/>
  <c r="E132" s="1"/>
  <c r="B123" i="262"/>
  <c r="E121"/>
  <c r="I130" i="280"/>
  <c r="F122" i="277"/>
  <c r="H122"/>
  <c r="C124" s="1"/>
  <c r="E124" s="1"/>
  <c r="D34" i="276"/>
  <c r="E32"/>
  <c r="F121" i="273"/>
  <c r="C122"/>
  <c r="E122" s="1"/>
  <c r="F134" i="287" l="1"/>
  <c r="C135"/>
  <c r="D123" i="262"/>
  <c r="H123" s="1"/>
  <c r="C123"/>
  <c r="F134" i="285"/>
  <c r="C135"/>
  <c r="D135" i="283"/>
  <c r="I135"/>
  <c r="D132" i="282"/>
  <c r="I132"/>
  <c r="D124" i="277"/>
  <c r="I124"/>
  <c r="I122" i="273"/>
  <c r="D122"/>
  <c r="H122" s="1"/>
  <c r="J130" i="279"/>
  <c r="C131"/>
  <c r="E131" s="1"/>
  <c r="F130"/>
  <c r="C132" i="281"/>
  <c r="E132" s="1"/>
  <c r="F131"/>
  <c r="C131" i="280"/>
  <c r="E131" s="1"/>
  <c r="F130"/>
  <c r="H34" i="276"/>
  <c r="D135" i="287" l="1"/>
  <c r="E135"/>
  <c r="I135" s="1"/>
  <c r="B124" i="262"/>
  <c r="E123"/>
  <c r="D135" i="285"/>
  <c r="E135"/>
  <c r="I135" s="1"/>
  <c r="D132" i="281"/>
  <c r="I132"/>
  <c r="D131" i="280"/>
  <c r="I131"/>
  <c r="D131" i="279"/>
  <c r="I131"/>
  <c r="C136" i="283"/>
  <c r="E136" s="1"/>
  <c r="F135"/>
  <c r="F132" i="282"/>
  <c r="C134"/>
  <c r="E134" s="1"/>
  <c r="C125" i="277"/>
  <c r="E125" s="1"/>
  <c r="F124"/>
  <c r="B35" i="276"/>
  <c r="C35" s="1"/>
  <c r="E34"/>
  <c r="F122" i="273"/>
  <c r="C124"/>
  <c r="E124" s="1"/>
  <c r="C136" i="287" l="1"/>
  <c r="F135"/>
  <c r="C124" i="262"/>
  <c r="D124"/>
  <c r="H124" s="1"/>
  <c r="C136" i="285"/>
  <c r="F135"/>
  <c r="D35" i="276"/>
  <c r="H35" s="1"/>
  <c r="D136" i="283"/>
  <c r="I136"/>
  <c r="D134" i="282"/>
  <c r="I134"/>
  <c r="D125" i="277"/>
  <c r="D124" i="273"/>
  <c r="I124"/>
  <c r="J131" i="279"/>
  <c r="C132"/>
  <c r="E132" s="1"/>
  <c r="F131"/>
  <c r="C134" i="281"/>
  <c r="E134" s="1"/>
  <c r="F132"/>
  <c r="C132" i="280"/>
  <c r="E132" s="1"/>
  <c r="F131"/>
  <c r="I125" i="277"/>
  <c r="D136" i="287" l="1"/>
  <c r="E136"/>
  <c r="I136" s="1"/>
  <c r="D136" i="285"/>
  <c r="E136"/>
  <c r="I136" s="1"/>
  <c r="D134" i="281"/>
  <c r="D132" i="280"/>
  <c r="D132" i="279"/>
  <c r="I132"/>
  <c r="F136" i="283"/>
  <c r="C137"/>
  <c r="E137" s="1"/>
  <c r="F134" i="282"/>
  <c r="C135"/>
  <c r="E135" s="1"/>
  <c r="B125" i="262"/>
  <c r="C125" s="1"/>
  <c r="E124"/>
  <c r="I134" i="281"/>
  <c r="I132" i="280"/>
  <c r="C126" i="277"/>
  <c r="E126" s="1"/>
  <c r="F125"/>
  <c r="B36" i="276"/>
  <c r="C36" s="1"/>
  <c r="E35"/>
  <c r="F124" i="273"/>
  <c r="C125"/>
  <c r="E125" s="1"/>
  <c r="F136" i="287" l="1"/>
  <c r="C137"/>
  <c r="F136" i="285"/>
  <c r="C137"/>
  <c r="D36" i="276"/>
  <c r="H36" s="1"/>
  <c r="D137" i="283"/>
  <c r="H137" s="1"/>
  <c r="D135" i="282"/>
  <c r="D126" i="277"/>
  <c r="I126"/>
  <c r="I125" i="273"/>
  <c r="D125"/>
  <c r="D125" i="262"/>
  <c r="H125" s="1"/>
  <c r="J132" i="279"/>
  <c r="C134"/>
  <c r="E134" s="1"/>
  <c r="F132"/>
  <c r="I137" i="283"/>
  <c r="I135" i="282"/>
  <c r="C135" i="281"/>
  <c r="E135" s="1"/>
  <c r="F134"/>
  <c r="C134" i="280"/>
  <c r="E134" s="1"/>
  <c r="F132"/>
  <c r="D137" i="287" l="1"/>
  <c r="E137"/>
  <c r="I137" s="1"/>
  <c r="D137" i="285"/>
  <c r="E137"/>
  <c r="I137" s="1"/>
  <c r="I135" i="281"/>
  <c r="D135"/>
  <c r="D134" i="280"/>
  <c r="D134" i="279"/>
  <c r="I134"/>
  <c r="F137" i="283"/>
  <c r="C139"/>
  <c r="F135" i="282"/>
  <c r="C136"/>
  <c r="E136" s="1"/>
  <c r="E125" i="262"/>
  <c r="B126"/>
  <c r="I134" i="280"/>
  <c r="C127" i="277"/>
  <c r="E127" s="1"/>
  <c r="F126"/>
  <c r="B37" i="276"/>
  <c r="C37" s="1"/>
  <c r="E36"/>
  <c r="C126" i="273"/>
  <c r="E126" s="1"/>
  <c r="F125"/>
  <c r="F137" i="287" l="1"/>
  <c r="H137"/>
  <c r="C139" s="1"/>
  <c r="D126" i="262"/>
  <c r="H126" s="1"/>
  <c r="C126"/>
  <c r="F137" i="285"/>
  <c r="H137"/>
  <c r="C139" s="1"/>
  <c r="E139" i="283"/>
  <c r="I139" s="1"/>
  <c r="D139"/>
  <c r="D37" i="276"/>
  <c r="H37" s="1"/>
  <c r="D136" i="282"/>
  <c r="I136"/>
  <c r="D127" i="277"/>
  <c r="I127"/>
  <c r="D126" i="273"/>
  <c r="I126"/>
  <c r="J134" i="279"/>
  <c r="C135"/>
  <c r="E135" s="1"/>
  <c r="F134"/>
  <c r="C136" i="281"/>
  <c r="E136" s="1"/>
  <c r="F135"/>
  <c r="C135" i="280"/>
  <c r="E135" s="1"/>
  <c r="F134"/>
  <c r="E139" i="287" l="1"/>
  <c r="I139" s="1"/>
  <c r="D139"/>
  <c r="E139" i="285"/>
  <c r="I139" s="1"/>
  <c r="D139"/>
  <c r="C140" i="283"/>
  <c r="F139"/>
  <c r="D136" i="281"/>
  <c r="D135" i="280"/>
  <c r="D135" i="279"/>
  <c r="I135"/>
  <c r="F136" i="282"/>
  <c r="C137"/>
  <c r="E137" s="1"/>
  <c r="E126" i="262"/>
  <c r="B128"/>
  <c r="I136" i="281"/>
  <c r="I135" i="280"/>
  <c r="C129" i="277"/>
  <c r="E129" s="1"/>
  <c r="F127"/>
  <c r="B39" i="276"/>
  <c r="E37"/>
  <c r="C127" i="273"/>
  <c r="E127" s="1"/>
  <c r="F126"/>
  <c r="D39" i="276" l="1"/>
  <c r="H39" s="1"/>
  <c r="C39"/>
  <c r="C140" i="287"/>
  <c r="F139"/>
  <c r="D128" i="262"/>
  <c r="H128" s="1"/>
  <c r="C128"/>
  <c r="C140" i="285"/>
  <c r="F139"/>
  <c r="D140" i="283"/>
  <c r="E140"/>
  <c r="I140" s="1"/>
  <c r="D137" i="282"/>
  <c r="D129" i="277"/>
  <c r="I129"/>
  <c r="I127" i="273"/>
  <c r="D127"/>
  <c r="J135" i="279"/>
  <c r="C136"/>
  <c r="E136" s="1"/>
  <c r="F135"/>
  <c r="I137" i="282"/>
  <c r="C137" i="281"/>
  <c r="E137" s="1"/>
  <c r="F136"/>
  <c r="C136" i="280"/>
  <c r="E136" s="1"/>
  <c r="F135"/>
  <c r="D140" i="287" l="1"/>
  <c r="E140"/>
  <c r="I140" s="1"/>
  <c r="D140" i="285"/>
  <c r="E140"/>
  <c r="I140" s="1"/>
  <c r="C141" i="283"/>
  <c r="F140"/>
  <c r="D137" i="281"/>
  <c r="D136" i="280"/>
  <c r="I136"/>
  <c r="D136" i="279"/>
  <c r="I136"/>
  <c r="F137" i="282"/>
  <c r="H137"/>
  <c r="C139" s="1"/>
  <c r="E139" s="1"/>
  <c r="E128" i="262"/>
  <c r="B129"/>
  <c r="I137" i="281"/>
  <c r="C130" i="277"/>
  <c r="E130" s="1"/>
  <c r="F129"/>
  <c r="B40" i="276"/>
  <c r="E39"/>
  <c r="F127" i="273"/>
  <c r="C129"/>
  <c r="E129" s="1"/>
  <c r="D40" i="276" l="1"/>
  <c r="C40"/>
  <c r="C141" i="287"/>
  <c r="F140"/>
  <c r="D129" i="262"/>
  <c r="H129" s="1"/>
  <c r="C129"/>
  <c r="C141" i="285"/>
  <c r="F140"/>
  <c r="D141" i="283"/>
  <c r="E141"/>
  <c r="I141" s="1"/>
  <c r="D139" i="282"/>
  <c r="I139"/>
  <c r="D130" i="277"/>
  <c r="I130"/>
  <c r="D129" i="273"/>
  <c r="I129"/>
  <c r="J136" i="279"/>
  <c r="C137"/>
  <c r="E137" s="1"/>
  <c r="F136"/>
  <c r="H137" i="281"/>
  <c r="C139" s="1"/>
  <c r="E139" s="1"/>
  <c r="F137"/>
  <c r="C137" i="280"/>
  <c r="E137" s="1"/>
  <c r="F136"/>
  <c r="E141" i="287" l="1"/>
  <c r="I141" s="1"/>
  <c r="D141"/>
  <c r="E141" i="285"/>
  <c r="I141" s="1"/>
  <c r="D141"/>
  <c r="F141" i="283"/>
  <c r="C142"/>
  <c r="D139" i="281"/>
  <c r="D137" i="280"/>
  <c r="I137"/>
  <c r="D137" i="279"/>
  <c r="I137"/>
  <c r="C140" i="282"/>
  <c r="E140" s="1"/>
  <c r="F139"/>
  <c r="E129" i="262"/>
  <c r="B130"/>
  <c r="I139" i="281"/>
  <c r="C131" i="277"/>
  <c r="E131" s="1"/>
  <c r="F130"/>
  <c r="B41" i="276"/>
  <c r="C41" s="1"/>
  <c r="C130" i="273"/>
  <c r="E130" s="1"/>
  <c r="F129"/>
  <c r="C142" i="287" l="1"/>
  <c r="F141"/>
  <c r="D130" i="262"/>
  <c r="H130" s="1"/>
  <c r="C130"/>
  <c r="C142" i="285"/>
  <c r="F141"/>
  <c r="D41" i="276"/>
  <c r="H41" s="1"/>
  <c r="D142" i="283"/>
  <c r="C144" s="1"/>
  <c r="E142"/>
  <c r="I142" s="1"/>
  <c r="D140" i="282"/>
  <c r="D131" i="277"/>
  <c r="I131"/>
  <c r="I130" i="273"/>
  <c r="D130"/>
  <c r="J137" i="279"/>
  <c r="C138"/>
  <c r="F137"/>
  <c r="I140" i="282"/>
  <c r="C140" i="281"/>
  <c r="E140" s="1"/>
  <c r="F139"/>
  <c r="H137" i="280"/>
  <c r="C139" s="1"/>
  <c r="E139" s="1"/>
  <c r="F137"/>
  <c r="D142" i="287" l="1"/>
  <c r="E142"/>
  <c r="I142" s="1"/>
  <c r="D142" i="285"/>
  <c r="E142"/>
  <c r="I142" s="1"/>
  <c r="D138" i="279"/>
  <c r="E138"/>
  <c r="E144" i="283"/>
  <c r="I144" s="1"/>
  <c r="D144"/>
  <c r="F142"/>
  <c r="I140" i="281"/>
  <c r="D140"/>
  <c r="D139" i="280"/>
  <c r="I139"/>
  <c r="I138" i="279"/>
  <c r="C141" i="282"/>
  <c r="E141" s="1"/>
  <c r="F140"/>
  <c r="E130" i="262"/>
  <c r="B131"/>
  <c r="C132" i="277"/>
  <c r="E132" s="1"/>
  <c r="F131"/>
  <c r="B42" i="276"/>
  <c r="C42" s="1"/>
  <c r="E41"/>
  <c r="C131" i="273"/>
  <c r="E131" s="1"/>
  <c r="F130"/>
  <c r="C144" i="287" l="1"/>
  <c r="F142"/>
  <c r="D131" i="262"/>
  <c r="H131" s="1"/>
  <c r="C131"/>
  <c r="C144" i="285"/>
  <c r="F142"/>
  <c r="D42" i="276"/>
  <c r="H42" s="1"/>
  <c r="C145" i="283"/>
  <c r="F144"/>
  <c r="D141" i="282"/>
  <c r="I141"/>
  <c r="D132" i="277"/>
  <c r="I132"/>
  <c r="D131" i="273"/>
  <c r="I131"/>
  <c r="J138" i="279"/>
  <c r="F138"/>
  <c r="C141" i="281"/>
  <c r="E141" s="1"/>
  <c r="F140"/>
  <c r="C140" i="280"/>
  <c r="E140" s="1"/>
  <c r="F139"/>
  <c r="E144" i="287" l="1"/>
  <c r="I144" s="1"/>
  <c r="D144"/>
  <c r="E144" i="285"/>
  <c r="I144" s="1"/>
  <c r="D144"/>
  <c r="E145" i="283"/>
  <c r="I145" s="1"/>
  <c r="D145"/>
  <c r="D141" i="281"/>
  <c r="I141"/>
  <c r="D140" i="280"/>
  <c r="I140"/>
  <c r="C142" i="282"/>
  <c r="E142" s="1"/>
  <c r="F141"/>
  <c r="E131" i="262"/>
  <c r="B133"/>
  <c r="C134" i="277"/>
  <c r="E134" s="1"/>
  <c r="F132"/>
  <c r="B44" i="276"/>
  <c r="E42"/>
  <c r="C132" i="273"/>
  <c r="E132" s="1"/>
  <c r="F131"/>
  <c r="D44" i="276" l="1"/>
  <c r="H44" s="1"/>
  <c r="C44"/>
  <c r="C145" i="287"/>
  <c r="F144"/>
  <c r="D133" i="262"/>
  <c r="H133" s="1"/>
  <c r="C133"/>
  <c r="C145" i="285"/>
  <c r="F144"/>
  <c r="F145" i="283"/>
  <c r="C146"/>
  <c r="D142" i="282"/>
  <c r="I142"/>
  <c r="D134" i="277"/>
  <c r="I134"/>
  <c r="I132" i="273"/>
  <c r="D132"/>
  <c r="C142" i="281"/>
  <c r="E142" s="1"/>
  <c r="F141"/>
  <c r="C141" i="280"/>
  <c r="E141" s="1"/>
  <c r="F140"/>
  <c r="D145" i="287" l="1"/>
  <c r="E145"/>
  <c r="I145" s="1"/>
  <c r="D145" i="285"/>
  <c r="E145"/>
  <c r="I145" s="1"/>
  <c r="E146" i="283"/>
  <c r="I146" s="1"/>
  <c r="D146"/>
  <c r="D142" i="281"/>
  <c r="I142"/>
  <c r="D141" i="280"/>
  <c r="I141"/>
  <c r="C144" i="282"/>
  <c r="E144" s="1"/>
  <c r="F142"/>
  <c r="E133" i="262"/>
  <c r="B134"/>
  <c r="C135" i="277"/>
  <c r="E135" s="1"/>
  <c r="F134"/>
  <c r="B45" i="276"/>
  <c r="E44"/>
  <c r="F132" i="273"/>
  <c r="C134"/>
  <c r="E134" s="1"/>
  <c r="D45" i="276" l="1"/>
  <c r="H45" s="1"/>
  <c r="C45"/>
  <c r="C146" i="287"/>
  <c r="F145"/>
  <c r="D134" i="262"/>
  <c r="H134" s="1"/>
  <c r="C134"/>
  <c r="C146" i="285"/>
  <c r="F145"/>
  <c r="C147" i="283"/>
  <c r="F146"/>
  <c r="D134" i="273"/>
  <c r="D144" i="282"/>
  <c r="I144"/>
  <c r="D135" i="277"/>
  <c r="I135"/>
  <c r="C144" i="281"/>
  <c r="E144" s="1"/>
  <c r="F142"/>
  <c r="C142" i="280"/>
  <c r="E142" s="1"/>
  <c r="F141"/>
  <c r="I134" i="273"/>
  <c r="E146" i="287" l="1"/>
  <c r="I146" s="1"/>
  <c r="D146"/>
  <c r="E146" i="285"/>
  <c r="I146" s="1"/>
  <c r="D146"/>
  <c r="E147" i="283"/>
  <c r="I147" s="1"/>
  <c r="D147"/>
  <c r="D144" i="281"/>
  <c r="I144"/>
  <c r="D142" i="280"/>
  <c r="I142"/>
  <c r="C145" i="282"/>
  <c r="E145" s="1"/>
  <c r="F144"/>
  <c r="E134" i="262"/>
  <c r="B135"/>
  <c r="C136" i="277"/>
  <c r="E136" s="1"/>
  <c r="F135"/>
  <c r="B46" i="276"/>
  <c r="D46" s="1"/>
  <c r="E45"/>
  <c r="C135" i="273"/>
  <c r="E135" s="1"/>
  <c r="F134"/>
  <c r="D135" i="262" l="1"/>
  <c r="H135" s="1"/>
  <c r="C135"/>
  <c r="C147" i="287"/>
  <c r="F146"/>
  <c r="C147" i="285"/>
  <c r="F146"/>
  <c r="F147" i="283"/>
  <c r="C149"/>
  <c r="D145" i="282"/>
  <c r="D136" i="277"/>
  <c r="I136"/>
  <c r="I135" i="273"/>
  <c r="D135"/>
  <c r="H46" i="276"/>
  <c r="I145" i="282"/>
  <c r="C145" i="281"/>
  <c r="E145" s="1"/>
  <c r="F144"/>
  <c r="C144" i="280"/>
  <c r="E144" s="1"/>
  <c r="F142"/>
  <c r="D147" i="287" l="1"/>
  <c r="E147"/>
  <c r="I147" s="1"/>
  <c r="D147" i="285"/>
  <c r="E147"/>
  <c r="I147" s="1"/>
  <c r="E149" i="283"/>
  <c r="I149" s="1"/>
  <c r="D149"/>
  <c r="I145" i="281"/>
  <c r="D145"/>
  <c r="D144" i="280"/>
  <c r="I144"/>
  <c r="C146" i="282"/>
  <c r="E146" s="1"/>
  <c r="F145"/>
  <c r="E135" i="262"/>
  <c r="B136"/>
  <c r="D136" s="1"/>
  <c r="C137" i="277"/>
  <c r="E137" s="1"/>
  <c r="F136"/>
  <c r="B47" i="276"/>
  <c r="D47" s="1"/>
  <c r="E46"/>
  <c r="C136" i="273"/>
  <c r="E136" s="1"/>
  <c r="F135"/>
  <c r="C149" i="287" l="1"/>
  <c r="F147"/>
  <c r="C149" i="285"/>
  <c r="F147"/>
  <c r="C150" i="283"/>
  <c r="F149"/>
  <c r="D146" i="282"/>
  <c r="D137" i="277"/>
  <c r="D136" i="273"/>
  <c r="I136"/>
  <c r="C136" i="262"/>
  <c r="H136"/>
  <c r="H47" i="276"/>
  <c r="C47"/>
  <c r="I146" i="282"/>
  <c r="C146" i="281"/>
  <c r="E146" s="1"/>
  <c r="F145"/>
  <c r="C145" i="280"/>
  <c r="E145" s="1"/>
  <c r="F144"/>
  <c r="I137" i="277"/>
  <c r="E149" i="287" l="1"/>
  <c r="I149" s="1"/>
  <c r="D149"/>
  <c r="E149" i="285"/>
  <c r="I149" s="1"/>
  <c r="D149"/>
  <c r="E150" i="283"/>
  <c r="I150" s="1"/>
  <c r="D150"/>
  <c r="D146" i="281"/>
  <c r="I146"/>
  <c r="D145" i="280"/>
  <c r="I145"/>
  <c r="C147" i="282"/>
  <c r="E147" s="1"/>
  <c r="F146"/>
  <c r="E136" i="262"/>
  <c r="B138"/>
  <c r="D138" s="1"/>
  <c r="H137" i="277"/>
  <c r="C139" s="1"/>
  <c r="E139" s="1"/>
  <c r="F137"/>
  <c r="E47" i="276"/>
  <c r="B49"/>
  <c r="D49" s="1"/>
  <c r="C137" i="273"/>
  <c r="E137" s="1"/>
  <c r="F136"/>
  <c r="C150" i="287" l="1"/>
  <c r="F149"/>
  <c r="C150" i="285"/>
  <c r="F149"/>
  <c r="F150" i="283"/>
  <c r="C151"/>
  <c r="H49" i="276"/>
  <c r="C49"/>
  <c r="D147" i="282"/>
  <c r="I147"/>
  <c r="D139" i="277"/>
  <c r="I137" i="273"/>
  <c r="D137"/>
  <c r="H137" s="1"/>
  <c r="C138" i="262"/>
  <c r="H138"/>
  <c r="C147" i="281"/>
  <c r="E147" s="1"/>
  <c r="F146"/>
  <c r="C146" i="280"/>
  <c r="E146" s="1"/>
  <c r="F145"/>
  <c r="I139" i="277"/>
  <c r="D150" i="287" l="1"/>
  <c r="E150"/>
  <c r="I150" s="1"/>
  <c r="D150" i="285"/>
  <c r="E150"/>
  <c r="I150" s="1"/>
  <c r="E151" i="283"/>
  <c r="I151" s="1"/>
  <c r="D151"/>
  <c r="D147" i="281"/>
  <c r="I147"/>
  <c r="D146" i="280"/>
  <c r="I146"/>
  <c r="C149" i="282"/>
  <c r="E149" s="1"/>
  <c r="F147"/>
  <c r="E138" i="262"/>
  <c r="B139"/>
  <c r="D139" s="1"/>
  <c r="C140" i="277"/>
  <c r="E140" s="1"/>
  <c r="F139"/>
  <c r="B50" i="276"/>
  <c r="D50" s="1"/>
  <c r="E49"/>
  <c r="F137" i="273"/>
  <c r="C139"/>
  <c r="E139" s="1"/>
  <c r="C151" i="287" l="1"/>
  <c r="F150"/>
  <c r="C151" i="285"/>
  <c r="F150"/>
  <c r="C152" i="283"/>
  <c r="F151"/>
  <c r="D149" i="282"/>
  <c r="D140" i="277"/>
  <c r="I140"/>
  <c r="I139" i="273"/>
  <c r="D139"/>
  <c r="C139" i="262"/>
  <c r="H139"/>
  <c r="H50" i="276"/>
  <c r="C50"/>
  <c r="I149" i="282"/>
  <c r="C149" i="281"/>
  <c r="E149" s="1"/>
  <c r="F147"/>
  <c r="C147" i="280"/>
  <c r="E147" s="1"/>
  <c r="F146"/>
  <c r="E151" i="287" l="1"/>
  <c r="I151" s="1"/>
  <c r="D151"/>
  <c r="E151" i="285"/>
  <c r="I151" s="1"/>
  <c r="D151"/>
  <c r="E152" i="283"/>
  <c r="I152" s="1"/>
  <c r="D152"/>
  <c r="H152" s="1"/>
  <c r="D149" i="281"/>
  <c r="I149"/>
  <c r="D147" i="280"/>
  <c r="I147"/>
  <c r="C150" i="282"/>
  <c r="E150" s="1"/>
  <c r="F149"/>
  <c r="E139" i="262"/>
  <c r="B140"/>
  <c r="D140" s="1"/>
  <c r="C141" i="277"/>
  <c r="E141" s="1"/>
  <c r="F140"/>
  <c r="B51" i="276"/>
  <c r="D51" s="1"/>
  <c r="E50"/>
  <c r="C140" i="273"/>
  <c r="E140" s="1"/>
  <c r="F139"/>
  <c r="C152" i="287" l="1"/>
  <c r="F151"/>
  <c r="C152" i="285"/>
  <c r="F151"/>
  <c r="C154" i="283"/>
  <c r="F152"/>
  <c r="D150" i="282"/>
  <c r="I150"/>
  <c r="D141" i="277"/>
  <c r="I141"/>
  <c r="I140" i="273"/>
  <c r="D140"/>
  <c r="C140" i="262"/>
  <c r="H140"/>
  <c r="H51" i="276"/>
  <c r="C51"/>
  <c r="C150" i="281"/>
  <c r="E150" s="1"/>
  <c r="F149"/>
  <c r="C149" i="280"/>
  <c r="E149" s="1"/>
  <c r="F147"/>
  <c r="D152" i="287" l="1"/>
  <c r="E152"/>
  <c r="I152" s="1"/>
  <c r="D152" i="285"/>
  <c r="E152"/>
  <c r="I152" s="1"/>
  <c r="E154" i="283"/>
  <c r="I154" s="1"/>
  <c r="D154"/>
  <c r="I150" i="281"/>
  <c r="D150"/>
  <c r="D149" i="280"/>
  <c r="I149"/>
  <c r="C151" i="282"/>
  <c r="E151" s="1"/>
  <c r="F150"/>
  <c r="E140" i="262"/>
  <c r="B141"/>
  <c r="D141" s="1"/>
  <c r="C142" i="277"/>
  <c r="E142" s="1"/>
  <c r="F141"/>
  <c r="B52" i="276"/>
  <c r="D52" s="1"/>
  <c r="E51"/>
  <c r="C141" i="273"/>
  <c r="E141" s="1"/>
  <c r="F140"/>
  <c r="H152" i="287" l="1"/>
  <c r="C154" s="1"/>
  <c r="F152"/>
  <c r="H152" i="285"/>
  <c r="C154" s="1"/>
  <c r="F152"/>
  <c r="F154" i="283"/>
  <c r="C155"/>
  <c r="D151" i="282"/>
  <c r="D142" i="277"/>
  <c r="I142"/>
  <c r="D141" i="273"/>
  <c r="I141"/>
  <c r="C141" i="262"/>
  <c r="E141" s="1"/>
  <c r="H141"/>
  <c r="H52" i="276"/>
  <c r="C52"/>
  <c r="I151" i="282"/>
  <c r="C151" i="281"/>
  <c r="E151" s="1"/>
  <c r="F150"/>
  <c r="C150" i="280"/>
  <c r="E150" s="1"/>
  <c r="F149"/>
  <c r="D154" i="287" l="1"/>
  <c r="E154"/>
  <c r="I154" s="1"/>
  <c r="D154" i="285"/>
  <c r="E154"/>
  <c r="I154" s="1"/>
  <c r="E155" i="283"/>
  <c r="I155" s="1"/>
  <c r="D155"/>
  <c r="D151" i="281"/>
  <c r="I151"/>
  <c r="D150" i="280"/>
  <c r="I150"/>
  <c r="C152" i="282"/>
  <c r="E152" s="1"/>
  <c r="F151"/>
  <c r="B143" i="262"/>
  <c r="D143" s="1"/>
  <c r="C144" i="277"/>
  <c r="E144" s="1"/>
  <c r="F142"/>
  <c r="B54" i="276"/>
  <c r="D54" s="1"/>
  <c r="E52"/>
  <c r="C142" i="273"/>
  <c r="E142" s="1"/>
  <c r="F141"/>
  <c r="C155" i="287" l="1"/>
  <c r="F154"/>
  <c r="C155" i="285"/>
  <c r="F154"/>
  <c r="F155" i="283"/>
  <c r="C156"/>
  <c r="H54" i="276"/>
  <c r="C54"/>
  <c r="D152" i="282"/>
  <c r="I152"/>
  <c r="D144" i="277"/>
  <c r="I144"/>
  <c r="I142" i="273"/>
  <c r="D142"/>
  <c r="C143" i="262"/>
  <c r="E143" s="1"/>
  <c r="H143"/>
  <c r="C152" i="281"/>
  <c r="E152" s="1"/>
  <c r="F151"/>
  <c r="C151" i="280"/>
  <c r="E151" s="1"/>
  <c r="F150"/>
  <c r="D155" i="287" l="1"/>
  <c r="E155"/>
  <c r="I155" s="1"/>
  <c r="D155" i="285"/>
  <c r="E155"/>
  <c r="I155" s="1"/>
  <c r="E156" i="283"/>
  <c r="I156" s="1"/>
  <c r="D156"/>
  <c r="D152" i="281"/>
  <c r="I152"/>
  <c r="D151" i="280"/>
  <c r="I151"/>
  <c r="H152" i="282"/>
  <c r="C154" s="1"/>
  <c r="E154" s="1"/>
  <c r="F152"/>
  <c r="B144" i="262"/>
  <c r="D144" s="1"/>
  <c r="C145" i="277"/>
  <c r="E145" s="1"/>
  <c r="F144"/>
  <c r="B55" i="276"/>
  <c r="D55" s="1"/>
  <c r="E54"/>
  <c r="F142" i="273"/>
  <c r="C144"/>
  <c r="E144" s="1"/>
  <c r="F155" i="287" l="1"/>
  <c r="C156"/>
  <c r="F155" i="285"/>
  <c r="C156"/>
  <c r="C157" i="283"/>
  <c r="F156"/>
  <c r="D144" i="273"/>
  <c r="I144"/>
  <c r="D154" i="282"/>
  <c r="I154"/>
  <c r="D145" i="277"/>
  <c r="C144" i="262"/>
  <c r="E144" s="1"/>
  <c r="H144"/>
  <c r="H55" i="276"/>
  <c r="C55"/>
  <c r="F152" i="281"/>
  <c r="H152"/>
  <c r="C154" s="1"/>
  <c r="E154" s="1"/>
  <c r="C152" i="280"/>
  <c r="E152" s="1"/>
  <c r="F151"/>
  <c r="I145" i="277"/>
  <c r="D156" i="287" l="1"/>
  <c r="E156"/>
  <c r="I156" s="1"/>
  <c r="D156" i="285"/>
  <c r="E156"/>
  <c r="I156" s="1"/>
  <c r="E157" i="283"/>
  <c r="I157" s="1"/>
  <c r="D157"/>
  <c r="D154" i="281"/>
  <c r="I154"/>
  <c r="D152" i="280"/>
  <c r="I152"/>
  <c r="F154" i="282"/>
  <c r="C155"/>
  <c r="E155" s="1"/>
  <c r="B145" i="262"/>
  <c r="D145" s="1"/>
  <c r="C146" i="277"/>
  <c r="E146" s="1"/>
  <c r="F145"/>
  <c r="B56" i="276"/>
  <c r="D56" s="1"/>
  <c r="E55"/>
  <c r="C145" i="273"/>
  <c r="E145" s="1"/>
  <c r="F144"/>
  <c r="C157" i="287" l="1"/>
  <c r="F156"/>
  <c r="C157" i="285"/>
  <c r="F156"/>
  <c r="F157" i="283"/>
  <c r="C159"/>
  <c r="D155" i="282"/>
  <c r="D146" i="277"/>
  <c r="I146"/>
  <c r="D145" i="273"/>
  <c r="I145"/>
  <c r="C145" i="262"/>
  <c r="E145" s="1"/>
  <c r="H145"/>
  <c r="H56" i="276"/>
  <c r="C56"/>
  <c r="I155" i="282"/>
  <c r="C155" i="281"/>
  <c r="E155" s="1"/>
  <c r="F154"/>
  <c r="F152" i="280"/>
  <c r="H152"/>
  <c r="C154" s="1"/>
  <c r="E154" s="1"/>
  <c r="D157" i="287" l="1"/>
  <c r="E157"/>
  <c r="I157" s="1"/>
  <c r="D157" i="285"/>
  <c r="E157"/>
  <c r="I157" s="1"/>
  <c r="E159" i="283"/>
  <c r="I159" s="1"/>
  <c r="D159"/>
  <c r="I155" i="281"/>
  <c r="D155"/>
  <c r="D154" i="280"/>
  <c r="I154"/>
  <c r="F155" i="282"/>
  <c r="C156"/>
  <c r="E156" s="1"/>
  <c r="B146" i="262"/>
  <c r="D146" s="1"/>
  <c r="C147" i="277"/>
  <c r="E147" s="1"/>
  <c r="F146"/>
  <c r="B57" i="276"/>
  <c r="D57" s="1"/>
  <c r="E56"/>
  <c r="C146" i="273"/>
  <c r="E146" s="1"/>
  <c r="F145"/>
  <c r="F157" i="287" l="1"/>
  <c r="C159"/>
  <c r="F157" i="285"/>
  <c r="C159"/>
  <c r="F159" i="283"/>
  <c r="C160"/>
  <c r="D156" i="282"/>
  <c r="D147" i="277"/>
  <c r="I147"/>
  <c r="D146" i="273"/>
  <c r="I146"/>
  <c r="C146" i="262"/>
  <c r="E146" s="1"/>
  <c r="H146"/>
  <c r="H57" i="276"/>
  <c r="C57"/>
  <c r="I156" i="282"/>
  <c r="C156" i="281"/>
  <c r="E156" s="1"/>
  <c r="F155"/>
  <c r="C155" i="280"/>
  <c r="E155" s="1"/>
  <c r="F154"/>
  <c r="D159" i="287" l="1"/>
  <c r="E159"/>
  <c r="I159" s="1"/>
  <c r="D159" i="285"/>
  <c r="E159"/>
  <c r="I159" s="1"/>
  <c r="E160" i="283"/>
  <c r="I160" s="1"/>
  <c r="D160"/>
  <c r="D156" i="281"/>
  <c r="I156"/>
  <c r="D155" i="280"/>
  <c r="I155"/>
  <c r="F156" i="282"/>
  <c r="C157"/>
  <c r="E157" s="1"/>
  <c r="B148" i="262"/>
  <c r="D148" s="1"/>
  <c r="C149" i="277"/>
  <c r="E149" s="1"/>
  <c r="F147"/>
  <c r="B59" i="276"/>
  <c r="D59" s="1"/>
  <c r="E57"/>
  <c r="C147" i="273"/>
  <c r="E147" s="1"/>
  <c r="F146"/>
  <c r="C160" i="287" l="1"/>
  <c r="F159"/>
  <c r="C160" i="285"/>
  <c r="F159"/>
  <c r="F160" i="283"/>
  <c r="C161"/>
  <c r="D157" i="282"/>
  <c r="D149" i="277"/>
  <c r="I149"/>
  <c r="I147" i="273"/>
  <c r="D147"/>
  <c r="C148" i="262"/>
  <c r="H148"/>
  <c r="H59" i="276"/>
  <c r="C59"/>
  <c r="I157" i="282"/>
  <c r="C157" i="281"/>
  <c r="E157" s="1"/>
  <c r="F156"/>
  <c r="C156" i="280"/>
  <c r="E156" s="1"/>
  <c r="F155"/>
  <c r="D160" i="287" l="1"/>
  <c r="E160"/>
  <c r="I160" s="1"/>
  <c r="D160" i="285"/>
  <c r="E160"/>
  <c r="I160" s="1"/>
  <c r="E161" i="283"/>
  <c r="I161" s="1"/>
  <c r="D161"/>
  <c r="D157" i="281"/>
  <c r="I157"/>
  <c r="D156" i="280"/>
  <c r="I156"/>
  <c r="F157" i="282"/>
  <c r="C159"/>
  <c r="E159" s="1"/>
  <c r="E148" i="262"/>
  <c r="B149"/>
  <c r="D149" s="1"/>
  <c r="C150" i="277"/>
  <c r="E150" s="1"/>
  <c r="F149"/>
  <c r="B60" i="276"/>
  <c r="D60" s="1"/>
  <c r="E59"/>
  <c r="C149" i="273"/>
  <c r="E149" s="1"/>
  <c r="F147"/>
  <c r="F160" i="287" l="1"/>
  <c r="C161"/>
  <c r="F160" i="285"/>
  <c r="C161"/>
  <c r="F161" i="283"/>
  <c r="C162"/>
  <c r="D159" i="282"/>
  <c r="D150" i="277"/>
  <c r="I150"/>
  <c r="D149" i="273"/>
  <c r="I149"/>
  <c r="C149" i="262"/>
  <c r="H149"/>
  <c r="H60" i="276"/>
  <c r="C60"/>
  <c r="I159" i="282"/>
  <c r="C159" i="281"/>
  <c r="E159" s="1"/>
  <c r="F157"/>
  <c r="C157" i="280"/>
  <c r="E157" s="1"/>
  <c r="F156"/>
  <c r="D161" i="287" l="1"/>
  <c r="E161"/>
  <c r="I161" s="1"/>
  <c r="D161" i="285"/>
  <c r="E161"/>
  <c r="I161" s="1"/>
  <c r="D162" i="283"/>
  <c r="E162"/>
  <c r="I162" s="1"/>
  <c r="D159" i="281"/>
  <c r="I159"/>
  <c r="D157" i="280"/>
  <c r="I157"/>
  <c r="F159" i="282"/>
  <c r="C160"/>
  <c r="E160" s="1"/>
  <c r="E149" i="262"/>
  <c r="B150"/>
  <c r="D150" s="1"/>
  <c r="C151" i="277"/>
  <c r="E151" s="1"/>
  <c r="F150"/>
  <c r="B61" i="276"/>
  <c r="D61" s="1"/>
  <c r="E60"/>
  <c r="C150" i="273"/>
  <c r="E150" s="1"/>
  <c r="F149"/>
  <c r="C162" i="287" l="1"/>
  <c r="F161"/>
  <c r="C162" i="285"/>
  <c r="F161"/>
  <c r="F162" i="283"/>
  <c r="C164"/>
  <c r="D160" i="282"/>
  <c r="D151" i="277"/>
  <c r="I151"/>
  <c r="D150" i="273"/>
  <c r="I150"/>
  <c r="C150" i="262"/>
  <c r="H150"/>
  <c r="H61" i="276"/>
  <c r="C61"/>
  <c r="I160" i="282"/>
  <c r="C160" i="281"/>
  <c r="E160" s="1"/>
  <c r="F159"/>
  <c r="C159" i="280"/>
  <c r="E159" s="1"/>
  <c r="F157"/>
  <c r="D162" i="287" l="1"/>
  <c r="E162"/>
  <c r="I162" s="1"/>
  <c r="D162" i="285"/>
  <c r="E162"/>
  <c r="I162" s="1"/>
  <c r="E164" i="283"/>
  <c r="I164" s="1"/>
  <c r="D164"/>
  <c r="I160" i="281"/>
  <c r="D160"/>
  <c r="D159" i="280"/>
  <c r="I159"/>
  <c r="F160" i="282"/>
  <c r="C161"/>
  <c r="E161" s="1"/>
  <c r="B151" i="262"/>
  <c r="D151" s="1"/>
  <c r="E150"/>
  <c r="C152" i="277"/>
  <c r="E152" s="1"/>
  <c r="F151"/>
  <c r="B62" i="276"/>
  <c r="D62" s="1"/>
  <c r="E61"/>
  <c r="C151" i="273"/>
  <c r="E151" s="1"/>
  <c r="F150"/>
  <c r="F162" i="287" l="1"/>
  <c r="C164"/>
  <c r="F162" i="285"/>
  <c r="C164"/>
  <c r="F164" i="283"/>
  <c r="C165"/>
  <c r="D161" i="282"/>
  <c r="D152" i="277"/>
  <c r="I152"/>
  <c r="D151" i="273"/>
  <c r="I151"/>
  <c r="C151" i="262"/>
  <c r="H151"/>
  <c r="H62" i="276"/>
  <c r="C62"/>
  <c r="I161" i="282"/>
  <c r="C161" i="281"/>
  <c r="E161" s="1"/>
  <c r="F160"/>
  <c r="C160" i="280"/>
  <c r="E160" s="1"/>
  <c r="F159"/>
  <c r="D164" i="287" l="1"/>
  <c r="E164"/>
  <c r="I164" s="1"/>
  <c r="D164" i="285"/>
  <c r="E164"/>
  <c r="I164" s="1"/>
  <c r="D165" i="283"/>
  <c r="E165"/>
  <c r="I165" s="1"/>
  <c r="D161" i="281"/>
  <c r="I161"/>
  <c r="D160" i="280"/>
  <c r="I160"/>
  <c r="F161" i="282"/>
  <c r="C162"/>
  <c r="E162" s="1"/>
  <c r="E151" i="262"/>
  <c r="B153"/>
  <c r="D153" s="1"/>
  <c r="F152" i="277"/>
  <c r="H152"/>
  <c r="C154" s="1"/>
  <c r="E154" s="1"/>
  <c r="B64" i="276"/>
  <c r="D64" s="1"/>
  <c r="E62"/>
  <c r="C152" i="273"/>
  <c r="E152" s="1"/>
  <c r="F151"/>
  <c r="C165" i="287" l="1"/>
  <c r="F164"/>
  <c r="C165" i="285"/>
  <c r="F164"/>
  <c r="F165" i="283"/>
  <c r="C166"/>
  <c r="D162" i="282"/>
  <c r="D154" i="277"/>
  <c r="I154"/>
  <c r="I152" i="273"/>
  <c r="D152"/>
  <c r="H152" s="1"/>
  <c r="C153" i="262"/>
  <c r="H153"/>
  <c r="H64" i="276"/>
  <c r="C64"/>
  <c r="I162" i="282"/>
  <c r="C162" i="281"/>
  <c r="E162" s="1"/>
  <c r="F161"/>
  <c r="C161" i="280"/>
  <c r="E161" s="1"/>
  <c r="F160"/>
  <c r="D165" i="287" l="1"/>
  <c r="E165"/>
  <c r="I165" s="1"/>
  <c r="D165" i="285"/>
  <c r="E165"/>
  <c r="I165" s="1"/>
  <c r="E166" i="283"/>
  <c r="I166" s="1"/>
  <c r="D166"/>
  <c r="D162" i="281"/>
  <c r="I162"/>
  <c r="D161" i="280"/>
  <c r="I161"/>
  <c r="F162" i="282"/>
  <c r="C164"/>
  <c r="E164" s="1"/>
  <c r="B154" i="262"/>
  <c r="D154" s="1"/>
  <c r="E153"/>
  <c r="C155" i="277"/>
  <c r="E155" s="1"/>
  <c r="F154"/>
  <c r="B65" i="276"/>
  <c r="D65" s="1"/>
  <c r="E64"/>
  <c r="F152" i="273"/>
  <c r="C154"/>
  <c r="E154" s="1"/>
  <c r="F165" i="287" l="1"/>
  <c r="C166"/>
  <c r="F165" i="285"/>
  <c r="C166"/>
  <c r="F166" i="283"/>
  <c r="C167"/>
  <c r="D154" i="273"/>
  <c r="I154"/>
  <c r="D164" i="282"/>
  <c r="I164"/>
  <c r="D155" i="277"/>
  <c r="I155"/>
  <c r="C154" i="262"/>
  <c r="H65" i="276"/>
  <c r="C65"/>
  <c r="H154" i="262"/>
  <c r="C164" i="281"/>
  <c r="E164" s="1"/>
  <c r="F162"/>
  <c r="C162" i="280"/>
  <c r="E162" s="1"/>
  <c r="F161"/>
  <c r="D166" i="287" l="1"/>
  <c r="E166"/>
  <c r="I166" s="1"/>
  <c r="D166" i="285"/>
  <c r="E166"/>
  <c r="I166" s="1"/>
  <c r="D167" i="283"/>
  <c r="H167" s="1"/>
  <c r="E167"/>
  <c r="I167" s="1"/>
  <c r="D164" i="281"/>
  <c r="I164"/>
  <c r="D162" i="280"/>
  <c r="I162"/>
  <c r="F164" i="282"/>
  <c r="C165"/>
  <c r="E165" s="1"/>
  <c r="B155" i="262"/>
  <c r="D155" s="1"/>
  <c r="E154"/>
  <c r="C156" i="277"/>
  <c r="E156" s="1"/>
  <c r="F155"/>
  <c r="B66" i="276"/>
  <c r="D66" s="1"/>
  <c r="E65"/>
  <c r="C155" i="273"/>
  <c r="E155" s="1"/>
  <c r="F154"/>
  <c r="C167" i="287" l="1"/>
  <c r="F166"/>
  <c r="C167" i="285"/>
  <c r="F166"/>
  <c r="F167" i="283"/>
  <c r="C169"/>
  <c r="I165" i="282"/>
  <c r="D165"/>
  <c r="D156" i="277"/>
  <c r="I156"/>
  <c r="D155" i="273"/>
  <c r="I155"/>
  <c r="C155" i="262"/>
  <c r="H155"/>
  <c r="H66" i="276"/>
  <c r="C66"/>
  <c r="C165" i="281"/>
  <c r="E165" s="1"/>
  <c r="F164"/>
  <c r="C164" i="280"/>
  <c r="E164" s="1"/>
  <c r="F162"/>
  <c r="D167" i="287" l="1"/>
  <c r="E167"/>
  <c r="I167" s="1"/>
  <c r="D167" i="285"/>
  <c r="E167"/>
  <c r="I167" s="1"/>
  <c r="E169" i="283"/>
  <c r="I169" s="1"/>
  <c r="D169"/>
  <c r="I165" i="281"/>
  <c r="D165"/>
  <c r="I164" i="280"/>
  <c r="D164"/>
  <c r="F165" i="282"/>
  <c r="C166"/>
  <c r="E166" s="1"/>
  <c r="E155" i="262"/>
  <c r="B156"/>
  <c r="D156" s="1"/>
  <c r="C157" i="277"/>
  <c r="E157" s="1"/>
  <c r="F156"/>
  <c r="B67" i="276"/>
  <c r="D67" s="1"/>
  <c r="E66"/>
  <c r="C156" i="273"/>
  <c r="E156" s="1"/>
  <c r="F155"/>
  <c r="C169" i="287" l="1"/>
  <c r="F167"/>
  <c r="H167"/>
  <c r="F167" i="285"/>
  <c r="H167"/>
  <c r="C169" s="1"/>
  <c r="F169" i="283"/>
  <c r="C170"/>
  <c r="D166" i="282"/>
  <c r="D157" i="277"/>
  <c r="D156" i="273"/>
  <c r="I156"/>
  <c r="C156" i="262"/>
  <c r="H67" i="276"/>
  <c r="C67"/>
  <c r="I166" i="282"/>
  <c r="H156" i="262"/>
  <c r="C166" i="281"/>
  <c r="E166" s="1"/>
  <c r="F165"/>
  <c r="C165" i="280"/>
  <c r="E165" s="1"/>
  <c r="F164"/>
  <c r="I157" i="277"/>
  <c r="D169" i="287" l="1"/>
  <c r="E169"/>
  <c r="I169" s="1"/>
  <c r="D169" i="285"/>
  <c r="E169"/>
  <c r="I169" s="1"/>
  <c r="E170" i="283"/>
  <c r="I170" s="1"/>
  <c r="D170"/>
  <c r="D166" i="281"/>
  <c r="I166"/>
  <c r="D165" i="280"/>
  <c r="I165"/>
  <c r="F166" i="282"/>
  <c r="C167"/>
  <c r="E167" s="1"/>
  <c r="B158" i="262"/>
  <c r="D158" s="1"/>
  <c r="E156"/>
  <c r="C159" i="277"/>
  <c r="E159" s="1"/>
  <c r="F157"/>
  <c r="B69" i="276"/>
  <c r="D69" s="1"/>
  <c r="E67"/>
  <c r="C157" i="273"/>
  <c r="E157" s="1"/>
  <c r="F156"/>
  <c r="C170" i="287" l="1"/>
  <c r="F169"/>
  <c r="C170" i="285"/>
  <c r="F169"/>
  <c r="F170" i="283"/>
  <c r="C171"/>
  <c r="H69" i="276"/>
  <c r="C69"/>
  <c r="D167" i="282"/>
  <c r="I167"/>
  <c r="D159" i="277"/>
  <c r="D157" i="273"/>
  <c r="I157"/>
  <c r="C158" i="262"/>
  <c r="H158"/>
  <c r="C167" i="281"/>
  <c r="E167" s="1"/>
  <c r="F166"/>
  <c r="C166" i="280"/>
  <c r="E166" s="1"/>
  <c r="F165"/>
  <c r="I159" i="277"/>
  <c r="E170" i="287" l="1"/>
  <c r="I170" s="1"/>
  <c r="D170"/>
  <c r="E170" i="285"/>
  <c r="I170" s="1"/>
  <c r="D170"/>
  <c r="E171" i="283"/>
  <c r="I171" s="1"/>
  <c r="D171"/>
  <c r="I167" i="281"/>
  <c r="D167"/>
  <c r="D166" i="280"/>
  <c r="I166"/>
  <c r="F167" i="282"/>
  <c r="H167"/>
  <c r="C169" s="1"/>
  <c r="E169" s="1"/>
  <c r="E158" i="262"/>
  <c r="B159"/>
  <c r="D159" s="1"/>
  <c r="C160" i="277"/>
  <c r="E160" s="1"/>
  <c r="F159"/>
  <c r="B70" i="276"/>
  <c r="D70" s="1"/>
  <c r="E69"/>
  <c r="C159" i="273"/>
  <c r="E159" s="1"/>
  <c r="F157"/>
  <c r="C171" i="287" l="1"/>
  <c r="F170"/>
  <c r="C171" i="285"/>
  <c r="F170"/>
  <c r="F171" i="283"/>
  <c r="C172"/>
  <c r="D169" i="282"/>
  <c r="I169"/>
  <c r="D160" i="277"/>
  <c r="I160"/>
  <c r="D159" i="273"/>
  <c r="I159"/>
  <c r="C159" i="262"/>
  <c r="H159"/>
  <c r="H70" i="276"/>
  <c r="C70"/>
  <c r="H167" i="281"/>
  <c r="C169" s="1"/>
  <c r="E169" s="1"/>
  <c r="F167"/>
  <c r="C167" i="280"/>
  <c r="E167" s="1"/>
  <c r="F166"/>
  <c r="D171" i="287" l="1"/>
  <c r="E171"/>
  <c r="I171" s="1"/>
  <c r="D171" i="285"/>
  <c r="E171"/>
  <c r="I171" s="1"/>
  <c r="D172" i="283"/>
  <c r="E172"/>
  <c r="I172" s="1"/>
  <c r="D169" i="281"/>
  <c r="I169"/>
  <c r="I167" i="280"/>
  <c r="D167"/>
  <c r="C170" i="282"/>
  <c r="E170" s="1"/>
  <c r="F169"/>
  <c r="B160" i="262"/>
  <c r="D160" s="1"/>
  <c r="E159"/>
  <c r="C161" i="277"/>
  <c r="E161" s="1"/>
  <c r="F160"/>
  <c r="B71" i="276"/>
  <c r="D71" s="1"/>
  <c r="E70"/>
  <c r="C160" i="273"/>
  <c r="E160" s="1"/>
  <c r="F159"/>
  <c r="C172" i="287" l="1"/>
  <c r="F171"/>
  <c r="C172" i="285"/>
  <c r="F171"/>
  <c r="C174" i="283"/>
  <c r="F172"/>
  <c r="I170" i="282"/>
  <c r="D170"/>
  <c r="D161" i="277"/>
  <c r="I161"/>
  <c r="D160" i="273"/>
  <c r="I160"/>
  <c r="C160" i="262"/>
  <c r="H71" i="276"/>
  <c r="C71"/>
  <c r="H160" i="262"/>
  <c r="C170" i="281"/>
  <c r="E170" s="1"/>
  <c r="F169"/>
  <c r="H167" i="280"/>
  <c r="C169" s="1"/>
  <c r="E169" s="1"/>
  <c r="F167"/>
  <c r="E172" i="287" l="1"/>
  <c r="I172" s="1"/>
  <c r="D172"/>
  <c r="E172" i="285"/>
  <c r="I172" s="1"/>
  <c r="D172"/>
  <c r="E174" i="283"/>
  <c r="I174" s="1"/>
  <c r="D174"/>
  <c r="I170" i="281"/>
  <c r="D170"/>
  <c r="D169" i="280"/>
  <c r="I169"/>
  <c r="C171" i="282"/>
  <c r="E171" s="1"/>
  <c r="F170"/>
  <c r="B161" i="262"/>
  <c r="D161" s="1"/>
  <c r="E160"/>
  <c r="C162" i="277"/>
  <c r="E162" s="1"/>
  <c r="F161"/>
  <c r="B72" i="276"/>
  <c r="D72" s="1"/>
  <c r="E71"/>
  <c r="C161" i="273"/>
  <c r="E161" s="1"/>
  <c r="F160"/>
  <c r="C174" i="287" l="1"/>
  <c r="F172"/>
  <c r="C174" i="285"/>
  <c r="F172"/>
  <c r="C175" i="283"/>
  <c r="F174"/>
  <c r="D171" i="282"/>
  <c r="I171"/>
  <c r="D162" i="277"/>
  <c r="I162"/>
  <c r="D161" i="273"/>
  <c r="I161"/>
  <c r="C161" i="262"/>
  <c r="H161"/>
  <c r="H72" i="276"/>
  <c r="C72"/>
  <c r="C171" i="281"/>
  <c r="E171" s="1"/>
  <c r="F170"/>
  <c r="C170" i="280"/>
  <c r="E170" s="1"/>
  <c r="F169"/>
  <c r="D174" i="287" l="1"/>
  <c r="E174"/>
  <c r="I174" s="1"/>
  <c r="D174" i="285"/>
  <c r="E174"/>
  <c r="I174" s="1"/>
  <c r="E175" i="283"/>
  <c r="I175" s="1"/>
  <c r="D175"/>
  <c r="D171" i="281"/>
  <c r="I171"/>
  <c r="D170" i="280"/>
  <c r="I170"/>
  <c r="C172" i="282"/>
  <c r="E172" s="1"/>
  <c r="F171"/>
  <c r="E161" i="262"/>
  <c r="B163"/>
  <c r="D163" s="1"/>
  <c r="C164" i="277"/>
  <c r="E164" s="1"/>
  <c r="F162"/>
  <c r="B74" i="276"/>
  <c r="D74" s="1"/>
  <c r="E72"/>
  <c r="C162" i="273"/>
  <c r="E162" s="1"/>
  <c r="F161"/>
  <c r="C175" i="287" l="1"/>
  <c r="F174"/>
  <c r="C175" i="285"/>
  <c r="F174"/>
  <c r="F175" i="283"/>
  <c r="C176"/>
  <c r="D172" i="282"/>
  <c r="I172"/>
  <c r="D164" i="277"/>
  <c r="I164"/>
  <c r="D162" i="273"/>
  <c r="I162"/>
  <c r="C163" i="262"/>
  <c r="H163"/>
  <c r="H74" i="276"/>
  <c r="C74"/>
  <c r="C172" i="281"/>
  <c r="E172" s="1"/>
  <c r="F171"/>
  <c r="C171" i="280"/>
  <c r="E171" s="1"/>
  <c r="F170"/>
  <c r="E175" i="287" l="1"/>
  <c r="I175" s="1"/>
  <c r="D175"/>
  <c r="E175" i="285"/>
  <c r="I175" s="1"/>
  <c r="D175"/>
  <c r="E176" i="283"/>
  <c r="I176" s="1"/>
  <c r="D176"/>
  <c r="I172" i="281"/>
  <c r="D172"/>
  <c r="D171" i="280"/>
  <c r="I171"/>
  <c r="C174" i="282"/>
  <c r="E174" s="1"/>
  <c r="F172"/>
  <c r="B164" i="262"/>
  <c r="D164" s="1"/>
  <c r="E163"/>
  <c r="C165" i="277"/>
  <c r="E165" s="1"/>
  <c r="F164"/>
  <c r="B75" i="276"/>
  <c r="D75" s="1"/>
  <c r="E74"/>
  <c r="F162" i="273"/>
  <c r="C164"/>
  <c r="E164" s="1"/>
  <c r="C176" i="287" l="1"/>
  <c r="F175"/>
  <c r="C176" i="285"/>
  <c r="F175"/>
  <c r="C177" i="283"/>
  <c r="F176"/>
  <c r="D164" i="273"/>
  <c r="I164"/>
  <c r="D174" i="282"/>
  <c r="I174"/>
  <c r="D165" i="277"/>
  <c r="C164" i="262"/>
  <c r="H164"/>
  <c r="H75" i="276"/>
  <c r="C75"/>
  <c r="C174" i="281"/>
  <c r="E174" s="1"/>
  <c r="F172"/>
  <c r="C172" i="280"/>
  <c r="E172" s="1"/>
  <c r="F171"/>
  <c r="I165" i="277"/>
  <c r="D176" i="287" l="1"/>
  <c r="E176"/>
  <c r="I176" s="1"/>
  <c r="D176" i="285"/>
  <c r="E176"/>
  <c r="I176" s="1"/>
  <c r="E177" i="283"/>
  <c r="I177" s="1"/>
  <c r="D177"/>
  <c r="D174" i="281"/>
  <c r="I174"/>
  <c r="I172" i="280"/>
  <c r="D172"/>
  <c r="C175" i="282"/>
  <c r="E175" s="1"/>
  <c r="F174"/>
  <c r="B165" i="262"/>
  <c r="D165" s="1"/>
  <c r="E164"/>
  <c r="C166" i="277"/>
  <c r="E166" s="1"/>
  <c r="F165"/>
  <c r="B76" i="276"/>
  <c r="D76" s="1"/>
  <c r="E75"/>
  <c r="C165" i="273"/>
  <c r="E165" s="1"/>
  <c r="F164"/>
  <c r="C177" i="287" l="1"/>
  <c r="F176"/>
  <c r="C177" i="285"/>
  <c r="F176"/>
  <c r="F177" i="283"/>
  <c r="C179"/>
  <c r="I175" i="282"/>
  <c r="D175"/>
  <c r="D166" i="277"/>
  <c r="I166"/>
  <c r="D165" i="273"/>
  <c r="I165"/>
  <c r="C165" i="262"/>
  <c r="H165"/>
  <c r="H76" i="276"/>
  <c r="C76"/>
  <c r="C175" i="281"/>
  <c r="E175" s="1"/>
  <c r="F174"/>
  <c r="C174" i="280"/>
  <c r="E174" s="1"/>
  <c r="F172"/>
  <c r="E177" i="287" l="1"/>
  <c r="I177" s="1"/>
  <c r="D177"/>
  <c r="E177" i="285"/>
  <c r="I177" s="1"/>
  <c r="D177"/>
  <c r="H177" s="1"/>
  <c r="E179" i="283"/>
  <c r="I179" s="1"/>
  <c r="D179"/>
  <c r="I175" i="281"/>
  <c r="D175"/>
  <c r="D174" i="280"/>
  <c r="I174"/>
  <c r="C176" i="282"/>
  <c r="E176" s="1"/>
  <c r="F175"/>
  <c r="E165" i="262"/>
  <c r="B166"/>
  <c r="D166" s="1"/>
  <c r="C167" i="277"/>
  <c r="E167" s="1"/>
  <c r="F166"/>
  <c r="B77" i="276"/>
  <c r="D77" s="1"/>
  <c r="E76"/>
  <c r="C166" i="273"/>
  <c r="E166" s="1"/>
  <c r="F165"/>
  <c r="F177" i="287" l="1"/>
  <c r="H177"/>
  <c r="F177" i="285"/>
  <c r="C180" i="283"/>
  <c r="F179"/>
  <c r="D176" i="282"/>
  <c r="I176"/>
  <c r="D167" i="277"/>
  <c r="I167"/>
  <c r="D166" i="273"/>
  <c r="I166"/>
  <c r="C166" i="262"/>
  <c r="H166"/>
  <c r="H77" i="276"/>
  <c r="C77"/>
  <c r="C176" i="281"/>
  <c r="E176" s="1"/>
  <c r="F175"/>
  <c r="C175" i="280"/>
  <c r="E175" s="1"/>
  <c r="F174"/>
  <c r="E180" i="283" l="1"/>
  <c r="I180" s="1"/>
  <c r="D180"/>
  <c r="D176" i="281"/>
  <c r="I176"/>
  <c r="D175" i="280"/>
  <c r="C177" i="282"/>
  <c r="E177" s="1"/>
  <c r="F176"/>
  <c r="E166" i="262"/>
  <c r="B168"/>
  <c r="D168" s="1"/>
  <c r="I175" i="280"/>
  <c r="H167" i="277"/>
  <c r="C169" s="1"/>
  <c r="E169" s="1"/>
  <c r="F167"/>
  <c r="B79" i="276"/>
  <c r="D79" s="1"/>
  <c r="E77"/>
  <c r="C167" i="273"/>
  <c r="E167" s="1"/>
  <c r="F166"/>
  <c r="F180" i="283" l="1"/>
  <c r="C181"/>
  <c r="D177" i="282"/>
  <c r="H177" s="1"/>
  <c r="I177"/>
  <c r="D169" i="277"/>
  <c r="I169"/>
  <c r="D167" i="273"/>
  <c r="H167" s="1"/>
  <c r="I167"/>
  <c r="C168" i="262"/>
  <c r="H168"/>
  <c r="H79" i="276"/>
  <c r="C79"/>
  <c r="C177" i="281"/>
  <c r="E177" s="1"/>
  <c r="F176"/>
  <c r="C176" i="280"/>
  <c r="E176" s="1"/>
  <c r="F175"/>
  <c r="E181" i="283" l="1"/>
  <c r="I181" s="1"/>
  <c r="D181"/>
  <c r="I177" i="281"/>
  <c r="D177"/>
  <c r="H177" s="1"/>
  <c r="D176" i="280"/>
  <c r="F177" i="282"/>
  <c r="E168" i="262"/>
  <c r="B169"/>
  <c r="D169" s="1"/>
  <c r="I176" i="280"/>
  <c r="C170" i="277"/>
  <c r="E170" s="1"/>
  <c r="F169"/>
  <c r="B80" i="276"/>
  <c r="D80" s="1"/>
  <c r="E79"/>
  <c r="C169" i="273"/>
  <c r="E169" s="1"/>
  <c r="F167"/>
  <c r="C182" i="283" l="1"/>
  <c r="F181"/>
  <c r="D170" i="277"/>
  <c r="I170"/>
  <c r="D169" i="273"/>
  <c r="I169"/>
  <c r="C169" i="262"/>
  <c r="H80" i="276"/>
  <c r="C80"/>
  <c r="H169" i="262"/>
  <c r="F177" i="281"/>
  <c r="C177" i="280"/>
  <c r="E177" s="1"/>
  <c r="F176"/>
  <c r="E182" i="283" l="1"/>
  <c r="I182" s="1"/>
  <c r="D182"/>
  <c r="H182" s="1"/>
  <c r="D177" i="280"/>
  <c r="H177" s="1"/>
  <c r="I177"/>
  <c r="B170" i="262"/>
  <c r="D170" s="1"/>
  <c r="E169"/>
  <c r="C171" i="277"/>
  <c r="E171" s="1"/>
  <c r="F170"/>
  <c r="B81" i="276"/>
  <c r="D81" s="1"/>
  <c r="E80"/>
  <c r="C170" i="273"/>
  <c r="E170" s="1"/>
  <c r="F169"/>
  <c r="F182" i="283" l="1"/>
  <c r="C184"/>
  <c r="D171" i="277"/>
  <c r="I171"/>
  <c r="D170" i="273"/>
  <c r="I170"/>
  <c r="C170" i="262"/>
  <c r="H81" i="276"/>
  <c r="C81"/>
  <c r="H170" i="262"/>
  <c r="F177" i="280"/>
  <c r="D184" i="283" l="1"/>
  <c r="E184"/>
  <c r="I184" s="1"/>
  <c r="E170" i="262"/>
  <c r="B171"/>
  <c r="D171" s="1"/>
  <c r="C172" i="277"/>
  <c r="E172" s="1"/>
  <c r="F171"/>
  <c r="B82" i="276"/>
  <c r="D82" s="1"/>
  <c r="E81"/>
  <c r="C171" i="273"/>
  <c r="E171" s="1"/>
  <c r="F170"/>
  <c r="F184" i="283" l="1"/>
  <c r="C185"/>
  <c r="D172" i="277"/>
  <c r="D171" i="273"/>
  <c r="I171"/>
  <c r="C171" i="262"/>
  <c r="H171"/>
  <c r="H82" i="276"/>
  <c r="C82"/>
  <c r="I172" i="277"/>
  <c r="D185" i="283" l="1"/>
  <c r="E185"/>
  <c r="I185" s="1"/>
  <c r="B173" i="262"/>
  <c r="D173" s="1"/>
  <c r="E171"/>
  <c r="C174" i="277"/>
  <c r="E174" s="1"/>
  <c r="F172"/>
  <c r="B84" i="276"/>
  <c r="D84" s="1"/>
  <c r="E82"/>
  <c r="C172" i="273"/>
  <c r="E172" s="1"/>
  <c r="F171"/>
  <c r="C186" i="283" l="1"/>
  <c r="F185"/>
  <c r="D174" i="277"/>
  <c r="I174"/>
  <c r="D172" i="273"/>
  <c r="I172"/>
  <c r="C173" i="262"/>
  <c r="H173"/>
  <c r="H84" i="276"/>
  <c r="C84"/>
  <c r="E186" i="283" l="1"/>
  <c r="I186" s="1"/>
  <c r="D186"/>
  <c r="E173" i="262"/>
  <c r="B174"/>
  <c r="D174" s="1"/>
  <c r="C175" i="277"/>
  <c r="E175" s="1"/>
  <c r="F174"/>
  <c r="B85" i="276"/>
  <c r="D85" s="1"/>
  <c r="E84"/>
  <c r="F172" i="273"/>
  <c r="C174"/>
  <c r="E174" s="1"/>
  <c r="C187" i="283" l="1"/>
  <c r="F186"/>
  <c r="D174" i="273"/>
  <c r="I174"/>
  <c r="D175" i="277"/>
  <c r="I175"/>
  <c r="C174" i="262"/>
  <c r="H174"/>
  <c r="H85" i="276"/>
  <c r="C85"/>
  <c r="E187" i="283" l="1"/>
  <c r="I187" s="1"/>
  <c r="D187"/>
  <c r="E174" i="262"/>
  <c r="B175"/>
  <c r="D175" s="1"/>
  <c r="C176" i="277"/>
  <c r="E176" s="1"/>
  <c r="F175"/>
  <c r="B86" i="276"/>
  <c r="D86" s="1"/>
  <c r="E85"/>
  <c r="C175" i="273"/>
  <c r="E175" s="1"/>
  <c r="F174"/>
  <c r="F187" i="283" l="1"/>
  <c r="C189"/>
  <c r="D176" i="277"/>
  <c r="I175" i="273"/>
  <c r="D175"/>
  <c r="C175" i="262"/>
  <c r="H86" i="276"/>
  <c r="C86"/>
  <c r="H175" i="262"/>
  <c r="I176" i="277"/>
  <c r="D189" i="283" l="1"/>
  <c r="E189"/>
  <c r="I189" s="1"/>
  <c r="B176" i="262"/>
  <c r="D176" s="1"/>
  <c r="E175"/>
  <c r="C177" i="277"/>
  <c r="E177" s="1"/>
  <c r="F176"/>
  <c r="B87" i="276"/>
  <c r="D87" s="1"/>
  <c r="E86"/>
  <c r="C176" i="273"/>
  <c r="E176" s="1"/>
  <c r="F175"/>
  <c r="C190" i="283" l="1"/>
  <c r="F189"/>
  <c r="D177" i="277"/>
  <c r="H177" s="1"/>
  <c r="D176" i="273"/>
  <c r="I176"/>
  <c r="C176" i="262"/>
  <c r="H176"/>
  <c r="H87" i="276"/>
  <c r="C87"/>
  <c r="I177" i="277"/>
  <c r="E190" i="283" l="1"/>
  <c r="I190" s="1"/>
  <c r="D190"/>
  <c r="E176" i="262"/>
  <c r="B178"/>
  <c r="D178" s="1"/>
  <c r="F177" i="277"/>
  <c r="B89" i="276"/>
  <c r="D89" s="1"/>
  <c r="E87"/>
  <c r="C177" i="273"/>
  <c r="E177" s="1"/>
  <c r="F176"/>
  <c r="F190" i="283" l="1"/>
  <c r="C191"/>
  <c r="I177" i="273"/>
  <c r="D177"/>
  <c r="H177" s="1"/>
  <c r="C178" i="262"/>
  <c r="H178"/>
  <c r="H89" i="276"/>
  <c r="C89"/>
  <c r="E191" i="283" l="1"/>
  <c r="I191" s="1"/>
  <c r="D191"/>
  <c r="B179" i="262"/>
  <c r="D179" s="1"/>
  <c r="E178"/>
  <c r="B90" i="276"/>
  <c r="D90" s="1"/>
  <c r="E89"/>
  <c r="F177" i="273"/>
  <c r="F191" i="283" l="1"/>
  <c r="C192"/>
  <c r="C179" i="262"/>
  <c r="H90" i="276"/>
  <c r="C90"/>
  <c r="H179" i="262"/>
  <c r="E192" i="283" l="1"/>
  <c r="I192" s="1"/>
  <c r="D192"/>
  <c r="H192" s="1"/>
  <c r="E179" i="262"/>
  <c r="B180"/>
  <c r="D180" s="1"/>
  <c r="B91" i="276"/>
  <c r="D91" s="1"/>
  <c r="E90"/>
  <c r="F192" i="283" l="1"/>
  <c r="C180" i="262"/>
  <c r="H91" i="276"/>
  <c r="C91"/>
  <c r="H180" i="262"/>
  <c r="E180" l="1"/>
  <c r="B181"/>
  <c r="D181" s="1"/>
  <c r="B92" i="276"/>
  <c r="D92" s="1"/>
  <c r="E91"/>
  <c r="C181" i="262" l="1"/>
  <c r="H92" i="276"/>
  <c r="C92"/>
  <c r="H181" i="262"/>
  <c r="B183" l="1"/>
  <c r="D183" s="1"/>
  <c r="E181"/>
  <c r="B94" i="276"/>
  <c r="D94" s="1"/>
  <c r="E92"/>
  <c r="C183" i="262" l="1"/>
  <c r="H94" i="276"/>
  <c r="C94"/>
  <c r="H183" i="262"/>
  <c r="E183" l="1"/>
  <c r="B184"/>
  <c r="D184" s="1"/>
  <c r="B95" i="276"/>
  <c r="D95" s="1"/>
  <c r="E94"/>
  <c r="C184" i="262" l="1"/>
  <c r="H95" i="276"/>
  <c r="C95"/>
  <c r="H184" i="262"/>
  <c r="B185" l="1"/>
  <c r="D185" s="1"/>
  <c r="E184"/>
  <c r="B96" i="276"/>
  <c r="D96" s="1"/>
  <c r="E95"/>
  <c r="C185" i="262" l="1"/>
  <c r="H96" i="276"/>
  <c r="C96"/>
  <c r="H185" i="262"/>
  <c r="E185" l="1"/>
  <c r="B186"/>
  <c r="D186" s="1"/>
  <c r="B97" i="276"/>
  <c r="D97" s="1"/>
  <c r="E96"/>
  <c r="C186" i="262" l="1"/>
  <c r="H97" i="276"/>
  <c r="C97"/>
  <c r="H186" i="262"/>
  <c r="B188" l="1"/>
  <c r="D188" s="1"/>
  <c r="E186"/>
  <c r="B99" i="276"/>
  <c r="D99" s="1"/>
  <c r="E97"/>
  <c r="H99" l="1"/>
  <c r="C99"/>
  <c r="C188" i="262"/>
  <c r="H188"/>
  <c r="B189" l="1"/>
  <c r="D189" s="1"/>
  <c r="E188"/>
  <c r="B100" i="276"/>
  <c r="D100" s="1"/>
  <c r="E99"/>
  <c r="C189" i="262" l="1"/>
  <c r="H100" i="276"/>
  <c r="C100"/>
  <c r="H189" i="262"/>
  <c r="E189" l="1"/>
  <c r="B190"/>
  <c r="D190" s="1"/>
  <c r="B101" i="276"/>
  <c r="D101" s="1"/>
  <c r="E100"/>
  <c r="C190" i="262" l="1"/>
  <c r="H101" i="276"/>
  <c r="C101"/>
  <c r="H190" i="262"/>
  <c r="E190" l="1"/>
  <c r="B191"/>
  <c r="D191" s="1"/>
  <c r="B102" i="276"/>
  <c r="D102" s="1"/>
  <c r="E101"/>
  <c r="C191" i="262" l="1"/>
  <c r="H102" i="276"/>
  <c r="C102"/>
  <c r="H191" i="262"/>
  <c r="E191" l="1"/>
  <c r="B193"/>
  <c r="D193" s="1"/>
  <c r="B104" i="276"/>
  <c r="D104" s="1"/>
  <c r="E102"/>
  <c r="C193" i="262" l="1"/>
  <c r="H104" i="276"/>
  <c r="C104"/>
  <c r="H193" i="262"/>
  <c r="B194" l="1"/>
  <c r="D194" s="1"/>
  <c r="E193"/>
  <c r="B105" i="276"/>
  <c r="D105" s="1"/>
  <c r="E104"/>
  <c r="C194" i="262" l="1"/>
  <c r="H105" i="276"/>
  <c r="C105"/>
  <c r="H194" i="262"/>
  <c r="E194" l="1"/>
  <c r="B195"/>
  <c r="D195" s="1"/>
  <c r="B106" i="276"/>
  <c r="D106" s="1"/>
  <c r="E105"/>
  <c r="C195" i="262" l="1"/>
  <c r="H106" i="276"/>
  <c r="C106"/>
  <c r="H195" i="262"/>
  <c r="E195" l="1"/>
  <c r="B196"/>
  <c r="D196" s="1"/>
  <c r="B107" i="276"/>
  <c r="D107" s="1"/>
  <c r="E106"/>
  <c r="C196" i="262" l="1"/>
  <c r="H107" i="276"/>
  <c r="C107"/>
  <c r="H196" i="262"/>
  <c r="B198" l="1"/>
  <c r="D198" s="1"/>
  <c r="E196"/>
  <c r="B109" i="276"/>
  <c r="D109" s="1"/>
  <c r="E107"/>
  <c r="C198" i="262" l="1"/>
  <c r="H109" i="276"/>
  <c r="C109"/>
  <c r="H198" i="262"/>
  <c r="B199" l="1"/>
  <c r="D199" s="1"/>
  <c r="E198"/>
  <c r="B110" i="276"/>
  <c r="D110" s="1"/>
  <c r="E109"/>
  <c r="C199" i="262" l="1"/>
  <c r="H199"/>
  <c r="H110" i="276"/>
  <c r="C110"/>
  <c r="B200" i="262" l="1"/>
  <c r="D200" s="1"/>
  <c r="E199"/>
  <c r="B111" i="276"/>
  <c r="D111" s="1"/>
  <c r="E110"/>
  <c r="C200" i="262" l="1"/>
  <c r="H111" i="276"/>
  <c r="C111"/>
  <c r="H200" i="262"/>
  <c r="B201" l="1"/>
  <c r="D201" s="1"/>
  <c r="E200"/>
  <c r="B112" i="276"/>
  <c r="D112" s="1"/>
  <c r="E111"/>
  <c r="C201" i="262" l="1"/>
  <c r="H201"/>
  <c r="H112" i="276"/>
  <c r="C112"/>
  <c r="E201" i="262" l="1"/>
  <c r="B203"/>
  <c r="D203" s="1"/>
  <c r="B114" i="276"/>
  <c r="D114" s="1"/>
  <c r="E112"/>
  <c r="C203" i="262" l="1"/>
  <c r="H203"/>
  <c r="H114" i="276"/>
  <c r="C114"/>
  <c r="B204" i="262" l="1"/>
  <c r="D204" s="1"/>
  <c r="E203"/>
  <c r="B115" i="276"/>
  <c r="D115" s="1"/>
  <c r="E114"/>
  <c r="C204" i="262" l="1"/>
  <c r="H204"/>
  <c r="H115" i="276"/>
  <c r="C115"/>
  <c r="B205" i="262" l="1"/>
  <c r="D205" s="1"/>
  <c r="E204"/>
  <c r="B116" i="276"/>
  <c r="D116" s="1"/>
  <c r="E115"/>
  <c r="C205" i="262" l="1"/>
  <c r="H205"/>
  <c r="H116" i="276"/>
  <c r="C116"/>
  <c r="B206" i="262" l="1"/>
  <c r="D206" s="1"/>
  <c r="E205"/>
  <c r="B117" i="276"/>
  <c r="D117" s="1"/>
  <c r="E116"/>
  <c r="C206" i="262" l="1"/>
  <c r="H206"/>
  <c r="H117" i="276"/>
  <c r="C117"/>
  <c r="E206" i="262" l="1"/>
  <c r="B208"/>
  <c r="D208" s="1"/>
  <c r="B119" i="276"/>
  <c r="D119" s="1"/>
  <c r="E117"/>
  <c r="C208" i="262" l="1"/>
  <c r="H208"/>
  <c r="H119" i="276"/>
  <c r="C119"/>
  <c r="E208" i="262" l="1"/>
  <c r="B209"/>
  <c r="D209" s="1"/>
  <c r="B120" i="276"/>
  <c r="D120" s="1"/>
  <c r="E119"/>
  <c r="C209" i="262" l="1"/>
  <c r="H120" i="276"/>
  <c r="C120"/>
  <c r="H209" i="262"/>
  <c r="B210" l="1"/>
  <c r="D210" s="1"/>
  <c r="E209"/>
  <c r="B121" i="276"/>
  <c r="D121" s="1"/>
  <c r="E120"/>
  <c r="C210" i="262" l="1"/>
  <c r="H121" i="276"/>
  <c r="C121"/>
  <c r="H210" i="262"/>
  <c r="B211" l="1"/>
  <c r="D211" s="1"/>
  <c r="E210"/>
  <c r="B122" i="276"/>
  <c r="D122" s="1"/>
  <c r="E121"/>
  <c r="C211" i="262" l="1"/>
  <c r="C122" i="276"/>
  <c r="H211" i="262"/>
  <c r="H122" i="276"/>
  <c r="E211" i="262" l="1"/>
  <c r="B213"/>
  <c r="D213" s="1"/>
  <c r="B124" i="276"/>
  <c r="D124" s="1"/>
  <c r="E122"/>
  <c r="C213" i="262" l="1"/>
  <c r="H213"/>
  <c r="H124" i="276"/>
  <c r="C124"/>
  <c r="E213" i="262" l="1"/>
  <c r="B214"/>
  <c r="D214" s="1"/>
  <c r="B125" i="276"/>
  <c r="D125" s="1"/>
  <c r="E124"/>
  <c r="C214" i="262" l="1"/>
  <c r="H214"/>
  <c r="H125" i="276"/>
  <c r="C125"/>
  <c r="B215" i="262" l="1"/>
  <c r="D215" s="1"/>
  <c r="E214"/>
  <c r="B126" i="276"/>
  <c r="D126" s="1"/>
  <c r="E125"/>
  <c r="C215" i="262" l="1"/>
  <c r="H215"/>
  <c r="H126" i="276"/>
  <c r="C126"/>
  <c r="B216" i="262" l="1"/>
  <c r="D216" s="1"/>
  <c r="E215"/>
  <c r="B127" i="276"/>
  <c r="D127" s="1"/>
  <c r="E126"/>
  <c r="C216" i="262" l="1"/>
  <c r="H127" i="276"/>
  <c r="C127"/>
  <c r="H216" i="262"/>
  <c r="B218" l="1"/>
  <c r="D218" s="1"/>
  <c r="E216"/>
  <c r="B129" i="276"/>
  <c r="D129" s="1"/>
  <c r="E127"/>
  <c r="H129" l="1"/>
  <c r="C129"/>
  <c r="C218" i="262"/>
  <c r="H218"/>
  <c r="B219" l="1"/>
  <c r="D219" s="1"/>
  <c r="E218"/>
  <c r="B130" i="276"/>
  <c r="D130" s="1"/>
  <c r="E129"/>
  <c r="C219" i="262" l="1"/>
  <c r="H130" i="276"/>
  <c r="C130"/>
  <c r="H219" i="262"/>
  <c r="E219" l="1"/>
  <c r="B220"/>
  <c r="D220" s="1"/>
  <c r="B131" i="276"/>
  <c r="D131" s="1"/>
  <c r="E130"/>
  <c r="C220" i="262" l="1"/>
  <c r="H220"/>
  <c r="H131" i="276"/>
  <c r="C131"/>
  <c r="B221" i="262" l="1"/>
  <c r="D221" s="1"/>
  <c r="E220"/>
  <c r="B132" i="276"/>
  <c r="D132" s="1"/>
  <c r="E131"/>
  <c r="C221" i="262" l="1"/>
  <c r="H132" i="276"/>
  <c r="C132"/>
  <c r="H221" i="262"/>
  <c r="E221" l="1"/>
  <c r="B223"/>
  <c r="D223" s="1"/>
  <c r="B134" i="276"/>
  <c r="D134" s="1"/>
  <c r="E132"/>
  <c r="H134" l="1"/>
  <c r="C134"/>
  <c r="C223" i="262"/>
  <c r="H223"/>
  <c r="E223" l="1"/>
  <c r="B224"/>
  <c r="D224" s="1"/>
  <c r="B135" i="276"/>
  <c r="D135" s="1"/>
  <c r="E134"/>
  <c r="C224" i="262" l="1"/>
  <c r="H135" i="276"/>
  <c r="C135"/>
  <c r="H224" i="262"/>
  <c r="E224" l="1"/>
  <c r="B225"/>
  <c r="D225" s="1"/>
  <c r="B136" i="276"/>
  <c r="D136" s="1"/>
  <c r="E135"/>
  <c r="C225" i="262" l="1"/>
  <c r="H225"/>
  <c r="H136" i="276"/>
  <c r="C136"/>
  <c r="B226" i="262" l="1"/>
  <c r="D226" s="1"/>
  <c r="E225"/>
  <c r="B137" i="276"/>
  <c r="D137" s="1"/>
  <c r="E136"/>
  <c r="C226" i="262" l="1"/>
  <c r="H137" i="276"/>
  <c r="C137"/>
  <c r="H226" i="262"/>
  <c r="E226" l="1"/>
  <c r="B227"/>
  <c r="D227" s="1"/>
  <c r="B138" i="276"/>
  <c r="D138" s="1"/>
  <c r="E137"/>
  <c r="H138" l="1"/>
  <c r="C138"/>
  <c r="C227" i="262"/>
  <c r="H227"/>
  <c r="E227" l="1"/>
  <c r="E138" i="276"/>
  <c r="E40" l="1"/>
  <c r="H40"/>
</calcChain>
</file>

<file path=xl/comments1.xml><?xml version="1.0" encoding="utf-8"?>
<comments xmlns="http://schemas.openxmlformats.org/spreadsheetml/2006/main">
  <authors>
    <author>tafadzwa musekiwa</author>
    <author>cash</author>
    <author>Tafadzwa02</author>
  </authors>
  <commentList>
    <comment ref="G32" authorId="0">
      <text>
        <r>
          <rPr>
            <b/>
            <sz val="9"/>
            <color indexed="81"/>
            <rFont val="Tahoma"/>
            <family val="2"/>
          </rPr>
          <t xml:space="preserve">Started Martingale Trading to raise money for Trending EA </t>
        </r>
      </text>
    </comment>
    <comment ref="F34" authorId="0">
      <text>
        <r>
          <rPr>
            <b/>
            <sz val="9"/>
            <color indexed="81"/>
            <rFont val="Tahoma"/>
            <family val="2"/>
          </rPr>
          <t>Transferred from Martingale</t>
        </r>
      </text>
    </comment>
    <comment ref="F35" authorId="0">
      <text>
        <r>
          <rPr>
            <b/>
            <sz val="9"/>
            <color indexed="81"/>
            <rFont val="Tahoma"/>
            <family val="2"/>
          </rPr>
          <t>Transferred from Martingale</t>
        </r>
      </text>
    </comment>
    <comment ref="F44" authorId="1">
      <text>
        <r>
          <rPr>
            <b/>
            <sz val="9"/>
            <color indexed="81"/>
            <rFont val="Tahoma"/>
            <family val="2"/>
          </rPr>
          <t>Transfered from Martingale Account given that I fixed my EA to make it 100% work</t>
        </r>
      </text>
    </comment>
    <comment ref="G47" authorId="1">
      <text>
        <r>
          <rPr>
            <b/>
            <sz val="9"/>
            <color indexed="81"/>
            <rFont val="Tahoma"/>
            <family val="2"/>
          </rPr>
          <t>Bhu**</t>
        </r>
      </text>
    </comment>
    <comment ref="G69" authorId="1">
      <text>
        <r>
          <rPr>
            <b/>
            <sz val="9"/>
            <color indexed="81"/>
            <rFont val="Tahoma"/>
            <family val="2"/>
          </rPr>
          <t xml:space="preserve">Transfered to Martingale
</t>
        </r>
      </text>
    </comment>
    <comment ref="G91" authorId="1">
      <text>
        <r>
          <rPr>
            <b/>
            <sz val="9"/>
            <color indexed="81"/>
            <rFont val="Tahoma"/>
            <family val="2"/>
          </rPr>
          <t>Initial Withdrawal</t>
        </r>
      </text>
    </comment>
    <comment ref="F108" authorId="1">
      <text>
        <r>
          <rPr>
            <b/>
            <sz val="9"/>
            <color indexed="81"/>
            <rFont val="Tahoma"/>
            <family val="2"/>
          </rPr>
          <t xml:space="preserve">Rud and Dam's Top Up based on Alligator Fund Management's share
</t>
        </r>
      </text>
    </comment>
    <comment ref="F110" authorId="1">
      <text>
        <r>
          <rPr>
            <b/>
            <sz val="9"/>
            <color indexed="81"/>
            <rFont val="Tahoma"/>
            <family val="2"/>
          </rPr>
          <t>Ham's Deduction based on Alligator Fund Management's share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14" authorId="1">
      <text>
        <r>
          <rPr>
            <b/>
            <sz val="9"/>
            <color indexed="81"/>
            <rFont val="Tahoma"/>
            <family val="2"/>
          </rPr>
          <t>Top Up</t>
        </r>
      </text>
    </comment>
    <comment ref="F115" authorId="2">
      <text>
        <r>
          <rPr>
            <b/>
            <sz val="9"/>
            <color indexed="81"/>
            <rFont val="Tahoma"/>
            <family val="2"/>
          </rPr>
          <t>Top Up</t>
        </r>
      </text>
    </comment>
    <comment ref="F118" authorId="2">
      <text>
        <r>
          <rPr>
            <b/>
            <sz val="9"/>
            <color indexed="81"/>
            <rFont val="Tahoma"/>
            <family val="2"/>
          </rPr>
          <t xml:space="preserve">BrianM's 
Deduction based on Alligator Fund Management's share
</t>
        </r>
      </text>
    </comment>
    <comment ref="F120" authorId="2">
      <text>
        <r>
          <rPr>
            <b/>
            <sz val="9"/>
            <color indexed="81"/>
            <rFont val="Tahoma"/>
            <family val="2"/>
          </rPr>
          <t xml:space="preserve">Rich's Top Up based on Alligator Fund Management's share
</t>
        </r>
      </text>
    </comment>
    <comment ref="F121" authorId="1">
      <text>
        <r>
          <rPr>
            <b/>
            <sz val="9"/>
            <color indexed="81"/>
            <rFont val="Tahoma"/>
            <family val="2"/>
          </rPr>
          <t xml:space="preserve">Rud and Dam's Top Up based on Alligator Fund Management's share
</t>
        </r>
      </text>
    </comment>
    <comment ref="F125" authorId="1">
      <text>
        <r>
          <rPr>
            <b/>
            <sz val="9"/>
            <color indexed="81"/>
            <rFont val="Tahoma"/>
            <family val="2"/>
          </rPr>
          <t>Ham's Deduction based on Alligator Fund Management's share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28" authorId="2">
      <text>
        <r>
          <rPr>
            <b/>
            <sz val="9"/>
            <color indexed="81"/>
            <rFont val="Tahoma"/>
            <family val="2"/>
          </rPr>
          <t xml:space="preserve">Taf Top Up
</t>
        </r>
      </text>
    </comment>
    <comment ref="F133" authorId="2">
      <text>
        <r>
          <rPr>
            <b/>
            <sz val="9"/>
            <color indexed="81"/>
            <rFont val="Tahoma"/>
            <family val="2"/>
          </rPr>
          <t>Brian's Top Up based on Alligator Fund Management's share</t>
        </r>
      </text>
    </comment>
    <comment ref="F135" authorId="2">
      <text>
        <r>
          <rPr>
            <b/>
            <sz val="9"/>
            <color indexed="81"/>
            <rFont val="Tahoma"/>
            <family val="2"/>
          </rPr>
          <t>Sharon's and Rich's Deduction based on Alligator Fund Management's share</t>
        </r>
      </text>
    </comment>
  </commentList>
</comments>
</file>

<file path=xl/comments2.xml><?xml version="1.0" encoding="utf-8"?>
<comments xmlns="http://schemas.openxmlformats.org/spreadsheetml/2006/main">
  <authors>
    <author>cash</author>
    <author>Tafadzwa02</author>
  </authors>
  <commentList>
    <comment ref="F6" authorId="0">
      <text>
        <r>
          <rPr>
            <b/>
            <sz val="9"/>
            <color indexed="81"/>
            <rFont val="Tahoma"/>
            <family val="2"/>
          </rPr>
          <t>Harm's  Deposit</t>
        </r>
      </text>
    </comment>
    <comment ref="F14" authorId="0">
      <text>
        <r>
          <rPr>
            <b/>
            <sz val="9"/>
            <color indexed="81"/>
            <rFont val="Tahoma"/>
            <family val="2"/>
          </rPr>
          <t>Brian's Deposit</t>
        </r>
      </text>
    </comment>
    <comment ref="F16" authorId="0">
      <text>
        <r>
          <rPr>
            <b/>
            <sz val="9"/>
            <color indexed="81"/>
            <rFont val="Tahoma"/>
            <family val="2"/>
          </rPr>
          <t>Richard's Deposit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9"/>
            <color indexed="81"/>
            <rFont val="Tahoma"/>
            <family val="2"/>
          </rPr>
          <t>Taf's Deposit</t>
        </r>
      </text>
    </comment>
    <comment ref="F26" authorId="1">
      <text>
        <r>
          <rPr>
            <b/>
            <sz val="9"/>
            <color indexed="81"/>
            <rFont val="Tahoma"/>
            <family val="2"/>
          </rPr>
          <t>Tafadzwa Deposit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31" authorId="1">
      <text>
        <r>
          <rPr>
            <b/>
            <sz val="9"/>
            <color indexed="81"/>
            <rFont val="Tahoma"/>
            <family val="2"/>
          </rPr>
          <t xml:space="preserve">Sharon's Deposit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39" authorId="1">
      <text>
        <r>
          <rPr>
            <b/>
            <sz val="9"/>
            <color indexed="81"/>
            <rFont val="Tahoma"/>
            <family val="2"/>
          </rPr>
          <t xml:space="preserve">Taf's Deposit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4" authorId="1">
      <text>
        <r>
          <rPr>
            <b/>
            <sz val="9"/>
            <color indexed="81"/>
            <rFont val="Tahoma"/>
            <family val="2"/>
          </rPr>
          <t xml:space="preserve">Reggie Deposit
</t>
        </r>
      </text>
    </comment>
    <comment ref="B47" authorId="1">
      <text>
        <r>
          <rPr>
            <b/>
            <sz val="9"/>
            <color indexed="81"/>
            <rFont val="Tahoma"/>
            <charset val="1"/>
          </rPr>
          <t xml:space="preserve">Combined
</t>
        </r>
      </text>
    </comment>
  </commentList>
</comments>
</file>

<file path=xl/sharedStrings.xml><?xml version="1.0" encoding="utf-8"?>
<sst xmlns="http://schemas.openxmlformats.org/spreadsheetml/2006/main" count="361" uniqueCount="50">
  <si>
    <t>Mon</t>
  </si>
  <si>
    <t>Discipline</t>
  </si>
  <si>
    <t>Actual</t>
  </si>
  <si>
    <t xml:space="preserve">Week </t>
  </si>
  <si>
    <t xml:space="preserve"> EA Account</t>
  </si>
  <si>
    <t xml:space="preserve">EA  Return </t>
  </si>
  <si>
    <t xml:space="preserve">Account </t>
  </si>
  <si>
    <t xml:space="preserve">Business  </t>
  </si>
  <si>
    <t>Commencing</t>
  </si>
  <si>
    <t>Top UP</t>
  </si>
  <si>
    <t>W/drawal</t>
  </si>
  <si>
    <t>Account</t>
  </si>
  <si>
    <t>EA £</t>
  </si>
  <si>
    <t>EA  No</t>
  </si>
  <si>
    <t xml:space="preserve">Ave Risk </t>
  </si>
  <si>
    <t>Per Pip</t>
  </si>
  <si>
    <t>Of Pips</t>
  </si>
  <si>
    <t xml:space="preserve"> % Per Trade</t>
  </si>
  <si>
    <t>Transition To Live01</t>
  </si>
  <si>
    <t>BREXIT TRADING</t>
  </si>
  <si>
    <t>Normal Trading Resumes</t>
  </si>
  <si>
    <t>Max %</t>
  </si>
  <si>
    <t xml:space="preserve"> Flag</t>
  </si>
  <si>
    <t>Day</t>
  </si>
  <si>
    <t>% Profit</t>
  </si>
  <si>
    <t>Running Trades</t>
  </si>
  <si>
    <t>Tue</t>
  </si>
  <si>
    <t>Lost</t>
  </si>
  <si>
    <t>Wed</t>
  </si>
  <si>
    <t>Thur</t>
  </si>
  <si>
    <t xml:space="preserve">Trading Suspended due to Post  Brexit Volatility </t>
  </si>
  <si>
    <t>Start of the 100% Working EA</t>
  </si>
  <si>
    <t>Fri</t>
  </si>
  <si>
    <t>Transfered to Martingale and Lost</t>
  </si>
  <si>
    <t xml:space="preserve">5% Weekly Target </t>
  </si>
  <si>
    <t>Month</t>
  </si>
  <si>
    <t xml:space="preserve">MAX Risk </t>
  </si>
  <si>
    <t xml:space="preserve"> Account</t>
  </si>
  <si>
    <t xml:space="preserve"> Projected Return </t>
  </si>
  <si>
    <t xml:space="preserve"> £</t>
  </si>
  <si>
    <t xml:space="preserve">  No</t>
  </si>
  <si>
    <t>Typical</t>
  </si>
  <si>
    <t>% ROI</t>
  </si>
  <si>
    <t xml:space="preserve">5% Per Week Portifolio Target </t>
  </si>
  <si>
    <t>Equity</t>
  </si>
  <si>
    <t>The Birth of Alligator Fund Management_TakeProfit Trading Strategy</t>
  </si>
  <si>
    <t>Projection Based on £1 000 Start Up Capital (Excluding Commission)</t>
  </si>
  <si>
    <r>
      <t xml:space="preserve">3.5% Per Week Target Alligator Fund Management Account </t>
    </r>
    <r>
      <rPr>
        <b/>
        <sz val="11"/>
        <color indexed="10"/>
        <rFont val="Arial"/>
        <family val="2"/>
      </rPr>
      <t>(With)</t>
    </r>
    <r>
      <rPr>
        <b/>
        <sz val="11"/>
        <rFont val="Arial"/>
        <family val="2"/>
      </rPr>
      <t xml:space="preserve"> Intervention  -- Expert Advisor</t>
    </r>
  </si>
  <si>
    <r>
      <t xml:space="preserve">Alligator Fund Management  </t>
    </r>
    <r>
      <rPr>
        <b/>
        <sz val="10"/>
        <color rgb="FFFF0000"/>
        <rFont val="Arial"/>
        <family val="2"/>
      </rPr>
      <t>gives</t>
    </r>
    <r>
      <rPr>
        <b/>
        <sz val="10"/>
        <rFont val="Arial"/>
        <family val="2"/>
      </rPr>
      <t xml:space="preserve"> or </t>
    </r>
    <r>
      <rPr>
        <b/>
        <sz val="10"/>
        <color rgb="FF0000FF"/>
        <rFont val="Arial"/>
        <family val="2"/>
      </rPr>
      <t>takes</t>
    </r>
    <r>
      <rPr>
        <b/>
        <sz val="10"/>
        <rFont val="Arial"/>
        <family val="2"/>
      </rPr>
      <t xml:space="preserve"> 30% of losses or winnings</t>
    </r>
  </si>
  <si>
    <r>
      <t xml:space="preserve">Alligator Fund Management  </t>
    </r>
    <r>
      <rPr>
        <b/>
        <sz val="10"/>
        <color rgb="FFFF0000"/>
        <rFont val="Arial"/>
        <family val="2"/>
      </rPr>
      <t>gives</t>
    </r>
    <r>
      <rPr>
        <b/>
        <sz val="10"/>
        <rFont val="Arial"/>
        <family val="2"/>
      </rPr>
      <t xml:space="preserve"> or </t>
    </r>
    <r>
      <rPr>
        <b/>
        <sz val="10"/>
        <color rgb="FF0000FF"/>
        <rFont val="Arial"/>
        <family val="2"/>
      </rPr>
      <t>takes</t>
    </r>
    <r>
      <rPr>
        <b/>
        <sz val="10"/>
        <rFont val="Arial"/>
        <family val="2"/>
      </rPr>
      <t xml:space="preserve"> 35% of losses or winnings</t>
    </r>
  </si>
</sst>
</file>

<file path=xl/styles.xml><?xml version="1.0" encoding="utf-8"?>
<styleSheet xmlns="http://schemas.openxmlformats.org/spreadsheetml/2006/main">
  <numFmts count="6">
    <numFmt numFmtId="164" formatCode="_(&quot;Z$&quot;* #,##0.00_);_(&quot;Z$&quot;* \(#,##0.00\);_(&quot;Z$&quot;* &quot;-&quot;??_);_(@_)"/>
    <numFmt numFmtId="165" formatCode="&quot;£&quot;#,##0.00"/>
    <numFmt numFmtId="166" formatCode="0.0%"/>
    <numFmt numFmtId="167" formatCode="0_ ;[Red]\-0\ "/>
    <numFmt numFmtId="168" formatCode="[$-409]d\-mmm\-yy;@"/>
    <numFmt numFmtId="169" formatCode="[$£-809]#,##0"/>
  </numFmts>
  <fonts count="39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8"/>
      <color indexed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11"/>
      <name val="Calibri"/>
      <family val="2"/>
    </font>
    <font>
      <b/>
      <sz val="9"/>
      <color indexed="81"/>
      <name val="Tahoma"/>
      <family val="2"/>
    </font>
    <font>
      <b/>
      <sz val="8"/>
      <color indexed="10"/>
      <name val="Calibri"/>
      <family val="2"/>
    </font>
    <font>
      <sz val="8"/>
      <color indexed="8"/>
      <name val="Calibri"/>
      <family val="2"/>
    </font>
    <font>
      <b/>
      <sz val="8"/>
      <color indexed="12"/>
      <name val="Calibri"/>
      <family val="2"/>
    </font>
    <font>
      <b/>
      <sz val="10"/>
      <name val="Tahoma"/>
      <family val="2"/>
    </font>
    <font>
      <b/>
      <sz val="8"/>
      <color indexed="8"/>
      <name val="Tahoma"/>
      <family val="2"/>
    </font>
    <font>
      <b/>
      <sz val="8"/>
      <name val="Tahoma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rgb="FF0000FF"/>
      <name val="Calibri"/>
      <family val="2"/>
    </font>
    <font>
      <b/>
      <sz val="8"/>
      <color rgb="FFFF0000"/>
      <name val="Calibri"/>
      <family val="2"/>
    </font>
    <font>
      <b/>
      <sz val="8"/>
      <color rgb="FF0000FF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theme="1"/>
      <name val="Arial"/>
      <family val="2"/>
    </font>
    <font>
      <b/>
      <sz val="8"/>
      <color theme="0"/>
      <name val="Arial"/>
      <family val="2"/>
    </font>
    <font>
      <b/>
      <sz val="10"/>
      <color rgb="FF0000FF"/>
      <name val="Calibri"/>
      <family val="2"/>
    </font>
    <font>
      <sz val="8"/>
      <color theme="0"/>
      <name val="Calibri"/>
      <family val="2"/>
    </font>
    <font>
      <b/>
      <sz val="8"/>
      <color theme="1"/>
      <name val="Arial"/>
      <family val="2"/>
    </font>
    <font>
      <b/>
      <sz val="10"/>
      <color rgb="FFFF0000"/>
      <name val="Arial"/>
      <family val="2"/>
    </font>
    <font>
      <b/>
      <u/>
      <sz val="10"/>
      <color rgb="FFFF0000"/>
      <name val="Arial"/>
      <family val="2"/>
    </font>
    <font>
      <sz val="8"/>
      <color rgb="FF0000FF"/>
      <name val="Calibri"/>
      <family val="2"/>
    </font>
    <font>
      <sz val="9"/>
      <color indexed="81"/>
      <name val="Tahoma"/>
      <family val="2"/>
    </font>
    <font>
      <b/>
      <sz val="14"/>
      <color theme="0"/>
      <name val="Calibri"/>
      <family val="2"/>
    </font>
    <font>
      <b/>
      <sz val="14"/>
      <color theme="0"/>
      <name val="Arial"/>
      <family val="2"/>
    </font>
    <font>
      <sz val="8"/>
      <color rgb="FFFF0000"/>
      <name val="Calibri"/>
      <family val="2"/>
    </font>
    <font>
      <b/>
      <sz val="11"/>
      <name val="Arial"/>
      <family val="2"/>
    </font>
    <font>
      <b/>
      <sz val="11"/>
      <color indexed="10"/>
      <name val="Arial"/>
      <family val="2"/>
    </font>
    <font>
      <sz val="11"/>
      <name val="Calibri"/>
      <family val="2"/>
      <scheme val="minor"/>
    </font>
    <font>
      <b/>
      <sz val="10"/>
      <color rgb="FF0000FF"/>
      <name val="Arial"/>
      <family val="2"/>
    </font>
    <font>
      <b/>
      <sz val="9"/>
      <color indexed="81"/>
      <name val="Tahoma"/>
      <charset val="1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15" fillId="0" borderId="0"/>
    <xf numFmtId="0" fontId="15" fillId="0" borderId="0"/>
    <xf numFmtId="0" fontId="3" fillId="0" borderId="0"/>
    <xf numFmtId="0" fontId="15" fillId="0" borderId="0"/>
    <xf numFmtId="0" fontId="3" fillId="0" borderId="0"/>
  </cellStyleXfs>
  <cellXfs count="119">
    <xf numFmtId="0" fontId="0" fillId="0" borderId="0" xfId="0"/>
    <xf numFmtId="0" fontId="0" fillId="0" borderId="0" xfId="0" applyFill="1"/>
    <xf numFmtId="0" fontId="3" fillId="0" borderId="0" xfId="3" applyFont="1" applyFill="1"/>
    <xf numFmtId="165" fontId="4" fillId="2" borderId="1" xfId="3" applyNumberFormat="1" applyFont="1" applyFill="1" applyBorder="1" applyAlignment="1">
      <alignment horizontal="center"/>
    </xf>
    <xf numFmtId="165" fontId="4" fillId="2" borderId="2" xfId="3" applyNumberFormat="1" applyFont="1" applyFill="1" applyBorder="1" applyAlignment="1">
      <alignment horizontal="center"/>
    </xf>
    <xf numFmtId="0" fontId="4" fillId="2" borderId="2" xfId="3" applyFont="1" applyFill="1" applyBorder="1" applyAlignment="1">
      <alignment horizontal="center"/>
    </xf>
    <xf numFmtId="0" fontId="4" fillId="2" borderId="1" xfId="4" applyFont="1" applyFill="1" applyBorder="1" applyAlignment="1">
      <alignment horizontal="center" wrapText="1"/>
    </xf>
    <xf numFmtId="0" fontId="4" fillId="2" borderId="1" xfId="3" applyFont="1" applyFill="1" applyBorder="1" applyAlignment="1">
      <alignment horizontal="center"/>
    </xf>
    <xf numFmtId="9" fontId="4" fillId="2" borderId="1" xfId="3" applyNumberFormat="1" applyFont="1" applyFill="1" applyBorder="1" applyAlignment="1">
      <alignment horizontal="center"/>
    </xf>
    <xf numFmtId="165" fontId="5" fillId="0" borderId="3" xfId="4" applyNumberFormat="1" applyFont="1" applyFill="1" applyBorder="1" applyAlignment="1">
      <alignment horizontal="center"/>
    </xf>
    <xf numFmtId="165" fontId="5" fillId="0" borderId="4" xfId="3" applyNumberFormat="1" applyFont="1" applyFill="1" applyBorder="1" applyAlignment="1">
      <alignment horizontal="center"/>
    </xf>
    <xf numFmtId="165" fontId="5" fillId="0" borderId="1" xfId="4" applyNumberFormat="1" applyFont="1" applyFill="1" applyBorder="1" applyAlignment="1">
      <alignment horizontal="center"/>
    </xf>
    <xf numFmtId="0" fontId="16" fillId="3" borderId="0" xfId="0" applyFont="1" applyFill="1"/>
    <xf numFmtId="14" fontId="5" fillId="0" borderId="1" xfId="3" applyNumberFormat="1" applyFont="1" applyFill="1" applyBorder="1"/>
    <xf numFmtId="0" fontId="4" fillId="2" borderId="1" xfId="3" applyFont="1" applyFill="1" applyBorder="1" applyAlignment="1">
      <alignment horizontal="center" wrapText="1"/>
    </xf>
    <xf numFmtId="168" fontId="5" fillId="0" borderId="3" xfId="4" applyNumberFormat="1" applyFont="1" applyFill="1" applyBorder="1"/>
    <xf numFmtId="165" fontId="17" fillId="3" borderId="5" xfId="4" applyNumberFormat="1" applyFont="1" applyFill="1" applyBorder="1" applyAlignment="1">
      <alignment horizontal="center"/>
    </xf>
    <xf numFmtId="165" fontId="5" fillId="0" borderId="3" xfId="3" applyNumberFormat="1" applyFont="1" applyFill="1" applyBorder="1" applyAlignment="1">
      <alignment horizontal="center"/>
    </xf>
    <xf numFmtId="165" fontId="9" fillId="0" borderId="3" xfId="3" applyNumberFormat="1" applyFont="1" applyFill="1" applyBorder="1" applyAlignment="1">
      <alignment horizontal="center"/>
    </xf>
    <xf numFmtId="166" fontId="6" fillId="0" borderId="3" xfId="3" applyNumberFormat="1" applyFont="1" applyFill="1" applyBorder="1" applyAlignment="1">
      <alignment horizontal="center"/>
    </xf>
    <xf numFmtId="165" fontId="5" fillId="0" borderId="5" xfId="3" applyNumberFormat="1" applyFont="1" applyFill="1" applyBorder="1" applyAlignment="1">
      <alignment horizontal="center"/>
    </xf>
    <xf numFmtId="165" fontId="18" fillId="0" borderId="3" xfId="3" applyNumberFormat="1" applyFont="1" applyFill="1" applyBorder="1" applyAlignment="1">
      <alignment horizontal="center"/>
    </xf>
    <xf numFmtId="165" fontId="5" fillId="0" borderId="6" xfId="3" applyNumberFormat="1" applyFont="1" applyFill="1" applyBorder="1" applyAlignment="1">
      <alignment horizontal="center"/>
    </xf>
    <xf numFmtId="165" fontId="5" fillId="0" borderId="1" xfId="3" applyNumberFormat="1" applyFont="1" applyFill="1" applyBorder="1" applyAlignment="1">
      <alignment horizontal="center"/>
    </xf>
    <xf numFmtId="166" fontId="6" fillId="0" borderId="1" xfId="3" applyNumberFormat="1" applyFont="1" applyFill="1" applyBorder="1" applyAlignment="1">
      <alignment horizontal="center"/>
    </xf>
    <xf numFmtId="165" fontId="9" fillId="0" borderId="1" xfId="3" applyNumberFormat="1" applyFont="1" applyFill="1" applyBorder="1" applyAlignment="1">
      <alignment horizontal="center"/>
    </xf>
    <xf numFmtId="165" fontId="19" fillId="0" borderId="3" xfId="3" applyNumberFormat="1" applyFont="1" applyFill="1" applyBorder="1" applyAlignment="1">
      <alignment horizontal="center"/>
    </xf>
    <xf numFmtId="167" fontId="10" fillId="0" borderId="1" xfId="3" applyNumberFormat="1" applyFont="1" applyFill="1" applyBorder="1" applyAlignment="1">
      <alignment horizontal="center"/>
    </xf>
    <xf numFmtId="167" fontId="10" fillId="0" borderId="3" xfId="3" applyNumberFormat="1" applyFont="1" applyFill="1" applyBorder="1" applyAlignment="1">
      <alignment horizontal="center"/>
    </xf>
    <xf numFmtId="0" fontId="16" fillId="4" borderId="0" xfId="0" applyFont="1" applyFill="1"/>
    <xf numFmtId="165" fontId="19" fillId="0" borderId="1" xfId="3" applyNumberFormat="1" applyFont="1" applyFill="1" applyBorder="1" applyAlignment="1">
      <alignment horizontal="center"/>
    </xf>
    <xf numFmtId="0" fontId="3" fillId="0" borderId="0" xfId="3" applyFill="1" applyBorder="1"/>
    <xf numFmtId="165" fontId="7" fillId="5" borderId="5" xfId="3" applyNumberFormat="1" applyFont="1" applyFill="1" applyBorder="1" applyAlignment="1">
      <alignment horizontal="center"/>
    </xf>
    <xf numFmtId="169" fontId="20" fillId="0" borderId="0" xfId="0" applyNumberFormat="1" applyFont="1" applyAlignment="1">
      <alignment horizontal="center"/>
    </xf>
    <xf numFmtId="167" fontId="18" fillId="0" borderId="3" xfId="3" applyNumberFormat="1" applyFont="1" applyFill="1" applyBorder="1" applyAlignment="1">
      <alignment horizontal="center"/>
    </xf>
    <xf numFmtId="167" fontId="19" fillId="0" borderId="3" xfId="3" applyNumberFormat="1" applyFont="1" applyFill="1" applyBorder="1" applyAlignment="1">
      <alignment horizontal="center"/>
    </xf>
    <xf numFmtId="0" fontId="21" fillId="4" borderId="0" xfId="0" applyFont="1" applyFill="1"/>
    <xf numFmtId="167" fontId="4" fillId="0" borderId="3" xfId="3" applyNumberFormat="1" applyFont="1" applyFill="1" applyBorder="1" applyAlignment="1">
      <alignment horizontal="center"/>
    </xf>
    <xf numFmtId="165" fontId="5" fillId="7" borderId="3" xfId="3" applyNumberFormat="1" applyFont="1" applyFill="1" applyBorder="1" applyAlignment="1">
      <alignment horizontal="center"/>
    </xf>
    <xf numFmtId="0" fontId="22" fillId="7" borderId="0" xfId="4" applyFont="1" applyFill="1" applyAlignment="1">
      <alignment horizontal="center" vertical="center"/>
    </xf>
    <xf numFmtId="166" fontId="4" fillId="2" borderId="1" xfId="3" applyNumberFormat="1" applyFont="1" applyFill="1" applyBorder="1" applyAlignment="1">
      <alignment horizontal="center" wrapText="1"/>
    </xf>
    <xf numFmtId="0" fontId="23" fillId="8" borderId="0" xfId="4" applyFont="1" applyFill="1" applyAlignment="1">
      <alignment horizontal="center" vertical="center"/>
    </xf>
    <xf numFmtId="9" fontId="4" fillId="2" borderId="1" xfId="4" applyNumberFormat="1" applyFont="1" applyFill="1" applyBorder="1" applyAlignment="1">
      <alignment horizontal="center" wrapText="1"/>
    </xf>
    <xf numFmtId="9" fontId="9" fillId="0" borderId="3" xfId="3" applyNumberFormat="1" applyFont="1" applyFill="1" applyBorder="1" applyAlignment="1">
      <alignment horizontal="center"/>
    </xf>
    <xf numFmtId="167" fontId="24" fillId="6" borderId="1" xfId="3" applyNumberFormat="1" applyFont="1" applyFill="1" applyBorder="1" applyAlignment="1">
      <alignment horizontal="center"/>
    </xf>
    <xf numFmtId="9" fontId="9" fillId="0" borderId="1" xfId="3" applyNumberFormat="1" applyFont="1" applyFill="1" applyBorder="1" applyAlignment="1">
      <alignment horizontal="center"/>
    </xf>
    <xf numFmtId="168" fontId="25" fillId="3" borderId="3" xfId="4" applyNumberFormat="1" applyFont="1" applyFill="1" applyBorder="1"/>
    <xf numFmtId="165" fontId="25" fillId="3" borderId="5" xfId="3" applyNumberFormat="1" applyFont="1" applyFill="1" applyBorder="1" applyAlignment="1">
      <alignment horizontal="center"/>
    </xf>
    <xf numFmtId="165" fontId="25" fillId="3" borderId="3" xfId="3" applyNumberFormat="1" applyFont="1" applyFill="1" applyBorder="1" applyAlignment="1">
      <alignment horizontal="center"/>
    </xf>
    <xf numFmtId="166" fontId="17" fillId="3" borderId="3" xfId="3" applyNumberFormat="1" applyFont="1" applyFill="1" applyBorder="1" applyAlignment="1">
      <alignment horizontal="center"/>
    </xf>
    <xf numFmtId="165" fontId="17" fillId="3" borderId="3" xfId="3" applyNumberFormat="1" applyFont="1" applyFill="1" applyBorder="1" applyAlignment="1">
      <alignment horizontal="center"/>
    </xf>
    <xf numFmtId="9" fontId="17" fillId="0" borderId="3" xfId="3" applyNumberFormat="1" applyFont="1" applyFill="1" applyBorder="1" applyAlignment="1">
      <alignment horizontal="center"/>
    </xf>
    <xf numFmtId="165" fontId="17" fillId="0" borderId="3" xfId="3" applyNumberFormat="1" applyFont="1" applyFill="1" applyBorder="1" applyAlignment="1">
      <alignment horizontal="center"/>
    </xf>
    <xf numFmtId="165" fontId="17" fillId="0" borderId="3" xfId="4" applyNumberFormat="1" applyFont="1" applyFill="1" applyBorder="1" applyAlignment="1">
      <alignment horizontal="center"/>
    </xf>
    <xf numFmtId="168" fontId="5" fillId="9" borderId="3" xfId="4" applyNumberFormat="1" applyFont="1" applyFill="1" applyBorder="1"/>
    <xf numFmtId="165" fontId="5" fillId="9" borderId="5" xfId="3" applyNumberFormat="1" applyFont="1" applyFill="1" applyBorder="1" applyAlignment="1">
      <alignment horizontal="center"/>
    </xf>
    <xf numFmtId="165" fontId="5" fillId="9" borderId="3" xfId="3" applyNumberFormat="1" applyFont="1" applyFill="1" applyBorder="1" applyAlignment="1">
      <alignment horizontal="center"/>
    </xf>
    <xf numFmtId="166" fontId="6" fillId="9" borderId="3" xfId="3" applyNumberFormat="1" applyFont="1" applyFill="1" applyBorder="1" applyAlignment="1">
      <alignment horizontal="center"/>
    </xf>
    <xf numFmtId="0" fontId="1" fillId="9" borderId="0" xfId="4" applyFont="1" applyFill="1" applyAlignment="1">
      <alignment horizontal="center" vertical="center"/>
    </xf>
    <xf numFmtId="9" fontId="17" fillId="4" borderId="3" xfId="4" applyNumberFormat="1" applyFont="1" applyFill="1" applyBorder="1" applyAlignment="1">
      <alignment horizontal="center"/>
    </xf>
    <xf numFmtId="165" fontId="17" fillId="4" borderId="3" xfId="3" applyNumberFormat="1" applyFont="1" applyFill="1" applyBorder="1" applyAlignment="1">
      <alignment horizontal="center"/>
    </xf>
    <xf numFmtId="9" fontId="17" fillId="3" borderId="3" xfId="4" applyNumberFormat="1" applyFont="1" applyFill="1" applyBorder="1" applyAlignment="1">
      <alignment horizontal="center"/>
    </xf>
    <xf numFmtId="0" fontId="26" fillId="7" borderId="0" xfId="4" applyFont="1" applyFill="1" applyAlignment="1">
      <alignment horizontal="center" vertical="center"/>
    </xf>
    <xf numFmtId="169" fontId="20" fillId="0" borderId="0" xfId="0" applyNumberFormat="1" applyFont="1" applyFill="1" applyAlignment="1">
      <alignment horizontal="center"/>
    </xf>
    <xf numFmtId="168" fontId="5" fillId="10" borderId="3" xfId="4" applyNumberFormat="1" applyFont="1" applyFill="1" applyBorder="1"/>
    <xf numFmtId="165" fontId="5" fillId="10" borderId="5" xfId="3" applyNumberFormat="1" applyFont="1" applyFill="1" applyBorder="1" applyAlignment="1">
      <alignment horizontal="center"/>
    </xf>
    <xf numFmtId="165" fontId="5" fillId="10" borderId="3" xfId="3" applyNumberFormat="1" applyFont="1" applyFill="1" applyBorder="1" applyAlignment="1">
      <alignment horizontal="center"/>
    </xf>
    <xf numFmtId="165" fontId="19" fillId="10" borderId="3" xfId="3" applyNumberFormat="1" applyFont="1" applyFill="1" applyBorder="1" applyAlignment="1">
      <alignment horizontal="center"/>
    </xf>
    <xf numFmtId="165" fontId="9" fillId="10" borderId="3" xfId="3" applyNumberFormat="1" applyFont="1" applyFill="1" applyBorder="1" applyAlignment="1">
      <alignment horizontal="center"/>
    </xf>
    <xf numFmtId="166" fontId="6" fillId="10" borderId="3" xfId="3" applyNumberFormat="1" applyFont="1" applyFill="1" applyBorder="1" applyAlignment="1">
      <alignment horizontal="center"/>
    </xf>
    <xf numFmtId="165" fontId="5" fillId="10" borderId="3" xfId="4" applyNumberFormat="1" applyFont="1" applyFill="1" applyBorder="1" applyAlignment="1">
      <alignment horizontal="center"/>
    </xf>
    <xf numFmtId="167" fontId="18" fillId="10" borderId="3" xfId="3" applyNumberFormat="1" applyFont="1" applyFill="1" applyBorder="1" applyAlignment="1">
      <alignment horizontal="center"/>
    </xf>
    <xf numFmtId="0" fontId="23" fillId="0" borderId="0" xfId="4" applyFont="1" applyFill="1" applyAlignment="1">
      <alignment horizontal="center" vertical="center"/>
    </xf>
    <xf numFmtId="0" fontId="23" fillId="4" borderId="0" xfId="4" applyFont="1" applyFill="1" applyAlignment="1">
      <alignment horizontal="center" vertical="center"/>
    </xf>
    <xf numFmtId="1" fontId="12" fillId="0" borderId="0" xfId="3" applyNumberFormat="1" applyFont="1" applyFill="1" applyAlignment="1">
      <alignment horizontal="center" vertical="center"/>
    </xf>
    <xf numFmtId="0" fontId="3" fillId="0" borderId="0" xfId="3" applyFill="1"/>
    <xf numFmtId="1" fontId="13" fillId="2" borderId="2" xfId="3" applyNumberFormat="1" applyFont="1" applyFill="1" applyBorder="1" applyAlignment="1">
      <alignment horizontal="center" vertical="center"/>
    </xf>
    <xf numFmtId="1" fontId="13" fillId="2" borderId="1" xfId="3" applyNumberFormat="1" applyFont="1" applyFill="1" applyBorder="1" applyAlignment="1">
      <alignment horizontal="center" vertical="center"/>
    </xf>
    <xf numFmtId="1" fontId="14" fillId="0" borderId="6" xfId="3" applyNumberFormat="1" applyFont="1" applyFill="1" applyBorder="1" applyAlignment="1">
      <alignment horizontal="center" vertical="center"/>
    </xf>
    <xf numFmtId="165" fontId="11" fillId="0" borderId="5" xfId="3" applyNumberFormat="1" applyFont="1" applyFill="1" applyBorder="1" applyAlignment="1">
      <alignment horizontal="center"/>
    </xf>
    <xf numFmtId="165" fontId="9" fillId="7" borderId="3" xfId="3" applyNumberFormat="1" applyFont="1" applyFill="1" applyBorder="1" applyAlignment="1">
      <alignment horizontal="center"/>
    </xf>
    <xf numFmtId="168" fontId="5" fillId="0" borderId="3" xfId="3" applyNumberFormat="1" applyFont="1" applyFill="1" applyBorder="1"/>
    <xf numFmtId="1" fontId="14" fillId="0" borderId="7" xfId="3" applyNumberFormat="1" applyFont="1" applyFill="1" applyBorder="1" applyAlignment="1">
      <alignment horizontal="center" vertical="center"/>
    </xf>
    <xf numFmtId="167" fontId="5" fillId="0" borderId="3" xfId="3" applyNumberFormat="1" applyFont="1" applyFill="1" applyBorder="1" applyAlignment="1">
      <alignment horizontal="center"/>
    </xf>
    <xf numFmtId="0" fontId="3" fillId="0" borderId="0" xfId="0" applyFont="1"/>
    <xf numFmtId="166" fontId="18" fillId="0" borderId="3" xfId="3" applyNumberFormat="1" applyFont="1" applyFill="1" applyBorder="1" applyAlignment="1">
      <alignment horizontal="center"/>
    </xf>
    <xf numFmtId="166" fontId="18" fillId="0" borderId="1" xfId="3" applyNumberFormat="1" applyFont="1" applyFill="1" applyBorder="1" applyAlignment="1">
      <alignment horizontal="center"/>
    </xf>
    <xf numFmtId="166" fontId="29" fillId="0" borderId="3" xfId="3" applyNumberFormat="1" applyFont="1" applyFill="1" applyBorder="1" applyAlignment="1">
      <alignment horizontal="center"/>
    </xf>
    <xf numFmtId="0" fontId="28" fillId="5" borderId="0" xfId="3" applyFont="1" applyFill="1" applyBorder="1" applyAlignment="1">
      <alignment horizontal="center"/>
    </xf>
    <xf numFmtId="166" fontId="18" fillId="12" borderId="1" xfId="3" applyNumberFormat="1" applyFont="1" applyFill="1" applyBorder="1" applyAlignment="1">
      <alignment horizontal="center"/>
    </xf>
    <xf numFmtId="166" fontId="33" fillId="0" borderId="3" xfId="3" applyNumberFormat="1" applyFont="1" applyFill="1" applyBorder="1" applyAlignment="1">
      <alignment horizontal="center"/>
    </xf>
    <xf numFmtId="166" fontId="29" fillId="0" borderId="1" xfId="3" applyNumberFormat="1" applyFont="1" applyFill="1" applyBorder="1" applyAlignment="1">
      <alignment horizontal="center"/>
    </xf>
    <xf numFmtId="167" fontId="5" fillId="0" borderId="1" xfId="3" applyNumberFormat="1" applyFont="1" applyFill="1" applyBorder="1" applyAlignment="1">
      <alignment horizontal="center"/>
    </xf>
    <xf numFmtId="166" fontId="19" fillId="5" borderId="3" xfId="3" applyNumberFormat="1" applyFont="1" applyFill="1" applyBorder="1" applyAlignment="1">
      <alignment horizontal="center"/>
    </xf>
    <xf numFmtId="167" fontId="6" fillId="0" borderId="3" xfId="3" applyNumberFormat="1" applyFont="1" applyFill="1" applyBorder="1" applyAlignment="1">
      <alignment horizontal="center"/>
    </xf>
    <xf numFmtId="167" fontId="4" fillId="5" borderId="3" xfId="3" applyNumberFormat="1" applyFont="1" applyFill="1" applyBorder="1" applyAlignment="1">
      <alignment horizontal="center"/>
    </xf>
    <xf numFmtId="167" fontId="6" fillId="5" borderId="3" xfId="3" applyNumberFormat="1" applyFont="1" applyFill="1" applyBorder="1" applyAlignment="1">
      <alignment horizontal="center"/>
    </xf>
    <xf numFmtId="167" fontId="4" fillId="0" borderId="1" xfId="3" applyNumberFormat="1" applyFont="1" applyFill="1" applyBorder="1" applyAlignment="1">
      <alignment horizontal="center"/>
    </xf>
    <xf numFmtId="167" fontId="6" fillId="0" borderId="1" xfId="3" applyNumberFormat="1" applyFont="1" applyFill="1" applyBorder="1" applyAlignment="1">
      <alignment horizontal="center"/>
    </xf>
    <xf numFmtId="165" fontId="33" fillId="0" borderId="3" xfId="3" applyNumberFormat="1" applyFont="1" applyFill="1" applyBorder="1" applyAlignment="1">
      <alignment horizontal="center"/>
    </xf>
    <xf numFmtId="165" fontId="18" fillId="0" borderId="1" xfId="3" applyNumberFormat="1" applyFont="1" applyFill="1" applyBorder="1" applyAlignment="1">
      <alignment horizontal="center"/>
    </xf>
    <xf numFmtId="167" fontId="18" fillId="5" borderId="3" xfId="3" applyNumberFormat="1" applyFont="1" applyFill="1" applyBorder="1" applyAlignment="1">
      <alignment horizontal="center"/>
    </xf>
    <xf numFmtId="0" fontId="1" fillId="5" borderId="0" xfId="3" applyFont="1" applyFill="1"/>
    <xf numFmtId="1" fontId="14" fillId="0" borderId="2" xfId="3" applyNumberFormat="1" applyFont="1" applyFill="1" applyBorder="1" applyAlignment="1">
      <alignment horizontal="center" vertical="center"/>
    </xf>
    <xf numFmtId="1" fontId="14" fillId="0" borderId="3" xfId="3" applyNumberFormat="1" applyFont="1" applyFill="1" applyBorder="1" applyAlignment="1">
      <alignment horizontal="center" vertical="center"/>
    </xf>
    <xf numFmtId="1" fontId="14" fillId="0" borderId="7" xfId="3" applyNumberFormat="1" applyFont="1" applyFill="1" applyBorder="1" applyAlignment="1">
      <alignment horizontal="center" vertical="center"/>
    </xf>
    <xf numFmtId="0" fontId="28" fillId="5" borderId="6" xfId="3" applyFont="1" applyFill="1" applyBorder="1" applyAlignment="1">
      <alignment horizontal="center"/>
    </xf>
    <xf numFmtId="0" fontId="28" fillId="5" borderId="4" xfId="3" applyFont="1" applyFill="1" applyBorder="1" applyAlignment="1">
      <alignment horizontal="center"/>
    </xf>
    <xf numFmtId="0" fontId="34" fillId="11" borderId="6" xfId="3" applyFont="1" applyFill="1" applyBorder="1" applyAlignment="1">
      <alignment horizontal="center"/>
    </xf>
    <xf numFmtId="0" fontId="34" fillId="11" borderId="4" xfId="3" applyFont="1" applyFill="1" applyBorder="1" applyAlignment="1">
      <alignment horizontal="center"/>
    </xf>
    <xf numFmtId="0" fontId="36" fillId="11" borderId="8" xfId="0" applyFont="1" applyFill="1" applyBorder="1" applyAlignment="1">
      <alignment horizontal="center"/>
    </xf>
    <xf numFmtId="14" fontId="31" fillId="4" borderId="6" xfId="3" applyNumberFormat="1" applyFont="1" applyFill="1" applyBorder="1" applyAlignment="1">
      <alignment horizontal="center"/>
    </xf>
    <xf numFmtId="0" fontId="32" fillId="4" borderId="4" xfId="0" applyFont="1" applyFill="1" applyBorder="1" applyAlignment="1">
      <alignment horizontal="center"/>
    </xf>
    <xf numFmtId="0" fontId="32" fillId="4" borderId="8" xfId="0" applyFont="1" applyFill="1" applyBorder="1" applyAlignment="1">
      <alignment horizontal="center"/>
    </xf>
    <xf numFmtId="0" fontId="2" fillId="11" borderId="6" xfId="3" applyFont="1" applyFill="1" applyBorder="1" applyAlignment="1">
      <alignment horizontal="center"/>
    </xf>
    <xf numFmtId="0" fontId="2" fillId="11" borderId="4" xfId="3" applyFont="1" applyFill="1" applyBorder="1" applyAlignment="1">
      <alignment horizontal="center"/>
    </xf>
    <xf numFmtId="0" fontId="2" fillId="5" borderId="9" xfId="3" applyFont="1" applyFill="1" applyBorder="1" applyAlignment="1">
      <alignment horizontal="center"/>
    </xf>
    <xf numFmtId="0" fontId="0" fillId="0" borderId="9" xfId="0" applyBorder="1" applyAlignment="1"/>
    <xf numFmtId="165" fontId="18" fillId="5" borderId="5" xfId="3" applyNumberFormat="1" applyFont="1" applyFill="1" applyBorder="1" applyAlignment="1">
      <alignment horizontal="center"/>
    </xf>
  </cellXfs>
  <cellStyles count="9">
    <cellStyle name="Currency 2" xfId="1"/>
    <cellStyle name="Currency 3" xfId="2"/>
    <cellStyle name="Normal" xfId="0" builtinId="0"/>
    <cellStyle name="Normal 2" xfId="3"/>
    <cellStyle name="Normal 2 2" xfId="4"/>
    <cellStyle name="Normal 2 2 2" xfId="5"/>
    <cellStyle name="Normal 2 3" xfId="6"/>
    <cellStyle name="Normal 2 4" xfId="7"/>
    <cellStyle name="Normal 3" xfId="8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78"/>
  <sheetViews>
    <sheetView workbookViewId="0">
      <selection activeCell="C6" sqref="C6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1" width="61.6328125" style="75" bestFit="1" customWidth="1"/>
    <col min="12" max="16384" width="9.1796875" style="75"/>
  </cols>
  <sheetData>
    <row r="1" spans="1:10" ht="13.5" thickBot="1">
      <c r="B1" s="106"/>
      <c r="C1" s="107"/>
      <c r="D1" s="107"/>
      <c r="E1" s="107"/>
      <c r="F1" s="107"/>
      <c r="G1" s="107"/>
      <c r="H1" s="107"/>
      <c r="I1" s="107"/>
      <c r="J1" s="88"/>
    </row>
    <row r="2" spans="1:10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0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0">
      <c r="A4" s="103">
        <v>1</v>
      </c>
      <c r="B4" s="81">
        <v>43114</v>
      </c>
      <c r="C4" s="20">
        <v>1500</v>
      </c>
      <c r="D4" s="99">
        <f>C4+(C4*-0.1565)</f>
        <v>1265.25</v>
      </c>
      <c r="E4" s="17">
        <f>C4/3250</f>
        <v>0.46153846153846156</v>
      </c>
      <c r="F4" s="96">
        <f>(D4-C4)/E4</f>
        <v>-508.625</v>
      </c>
      <c r="G4" s="18"/>
      <c r="H4" s="18"/>
      <c r="I4" s="19">
        <f>E4*50/C4</f>
        <v>1.5384615384615384E-2</v>
      </c>
      <c r="J4" s="90">
        <f>(D4-C4)/C4</f>
        <v>-0.1565</v>
      </c>
    </row>
    <row r="5" spans="1:10">
      <c r="A5" s="104"/>
      <c r="B5" s="81">
        <f>B4+7</f>
        <v>43121</v>
      </c>
      <c r="C5" s="17">
        <f>D4+G4-H4</f>
        <v>1265.25</v>
      </c>
      <c r="D5" s="99">
        <f>C5+(C5*-0.2248)</f>
        <v>980.82179999999994</v>
      </c>
      <c r="E5" s="17">
        <f>C5/3250</f>
        <v>0.3893076923076923</v>
      </c>
      <c r="F5" s="96">
        <f>(D5-C5)/E5</f>
        <v>-730.60000000000014</v>
      </c>
      <c r="G5" s="18"/>
      <c r="H5" s="18"/>
      <c r="I5" s="19">
        <f>E5*50/C5</f>
        <v>1.5384615384615384E-2</v>
      </c>
      <c r="J5" s="93">
        <f>(D5-C4)/C4</f>
        <v>-0.34611880000000006</v>
      </c>
    </row>
    <row r="6" spans="1:10" ht="14.5">
      <c r="A6" s="104"/>
      <c r="B6" s="81">
        <f>B5+7</f>
        <v>43128</v>
      </c>
      <c r="C6" s="32">
        <f>D5+G5-H5</f>
        <v>980.82179999999994</v>
      </c>
      <c r="D6" s="17">
        <f>C6+(C6*0.03)</f>
        <v>1010.246454</v>
      </c>
      <c r="E6" s="17">
        <f>C6/3250</f>
        <v>0.30179132307692308</v>
      </c>
      <c r="F6" s="28">
        <f>(D6-C6)/E6</f>
        <v>97.500000000000099</v>
      </c>
      <c r="G6" s="18"/>
      <c r="H6" s="18"/>
      <c r="I6" s="19">
        <f>E6*50/C6</f>
        <v>1.5384615384615385E-2</v>
      </c>
      <c r="J6" s="87"/>
    </row>
    <row r="7" spans="1:10" ht="13" thickBot="1">
      <c r="A7" s="105"/>
      <c r="B7" s="81">
        <f>B6+7</f>
        <v>43135</v>
      </c>
      <c r="C7" s="20">
        <f>D6+G6-H6</f>
        <v>1010.246454</v>
      </c>
      <c r="D7" s="17">
        <f>C7+(C7*0.03)</f>
        <v>1040.5538476199999</v>
      </c>
      <c r="E7" s="17">
        <f>C7/3250</f>
        <v>0.31084506276923074</v>
      </c>
      <c r="F7" s="28">
        <f>(D7-C7)/E7</f>
        <v>97.499999999999915</v>
      </c>
      <c r="G7" s="18"/>
      <c r="H7" s="18"/>
      <c r="I7" s="19">
        <f>E7*50/C7</f>
        <v>1.5384615384615382E-2</v>
      </c>
      <c r="J7" s="87"/>
    </row>
    <row r="8" spans="1:10" ht="13" thickBot="1">
      <c r="A8" s="78"/>
      <c r="B8" s="13"/>
      <c r="C8" s="22"/>
      <c r="D8" s="23"/>
      <c r="E8" s="23"/>
      <c r="F8" s="27"/>
      <c r="G8" s="23"/>
      <c r="H8" s="10"/>
      <c r="I8" s="24"/>
      <c r="J8" s="91"/>
    </row>
    <row r="9" spans="1:10">
      <c r="A9" s="103">
        <v>2</v>
      </c>
      <c r="B9" s="81">
        <f>B7+7</f>
        <v>43142</v>
      </c>
      <c r="C9" s="20">
        <f>D7+G7-H7</f>
        <v>1040.5538476199999</v>
      </c>
      <c r="D9" s="17">
        <f>C9+(C9*0.03)</f>
        <v>1071.7704630486</v>
      </c>
      <c r="E9" s="17">
        <f>C9/3250</f>
        <v>0.32017041465230767</v>
      </c>
      <c r="F9" s="28">
        <f>(D9-C9)/E9</f>
        <v>97.500000000000341</v>
      </c>
      <c r="G9" s="18"/>
      <c r="H9" s="18"/>
      <c r="I9" s="19">
        <f>E9*50/C9</f>
        <v>1.5384615384615385E-2</v>
      </c>
      <c r="J9" s="87"/>
    </row>
    <row r="10" spans="1:10">
      <c r="A10" s="104"/>
      <c r="B10" s="81">
        <f>B9+7</f>
        <v>43149</v>
      </c>
      <c r="C10" s="20">
        <f>D9+G9-H9</f>
        <v>1071.7704630486</v>
      </c>
      <c r="D10" s="17">
        <f>C10+(C10*0.03)</f>
        <v>1103.923576940058</v>
      </c>
      <c r="E10" s="17">
        <f>C10/3250</f>
        <v>0.32977552709187696</v>
      </c>
      <c r="F10" s="28">
        <f>(D10-C10)/E10</f>
        <v>97.499999999999702</v>
      </c>
      <c r="G10" s="18"/>
      <c r="H10" s="18"/>
      <c r="I10" s="19">
        <f>E10*50/C10</f>
        <v>1.5384615384615387E-2</v>
      </c>
      <c r="J10" s="87"/>
    </row>
    <row r="11" spans="1:10">
      <c r="A11" s="104"/>
      <c r="B11" s="81">
        <f>B10+7</f>
        <v>43156</v>
      </c>
      <c r="C11" s="20">
        <f>D10+G10-H10</f>
        <v>1103.923576940058</v>
      </c>
      <c r="D11" s="17">
        <f>C11+(C11*0.03)</f>
        <v>1137.0412842482597</v>
      </c>
      <c r="E11" s="17">
        <f>C11/3250</f>
        <v>0.3396687929046332</v>
      </c>
      <c r="F11" s="28">
        <f>(D11-C11)/E11</f>
        <v>97.499999999999943</v>
      </c>
      <c r="G11" s="18"/>
      <c r="H11" s="18"/>
      <c r="I11" s="19">
        <f>E11*50/C11</f>
        <v>1.5384615384615384E-2</v>
      </c>
      <c r="J11" s="87"/>
    </row>
    <row r="12" spans="1:10" ht="13" thickBot="1">
      <c r="A12" s="105"/>
      <c r="B12" s="81">
        <f>B11+7</f>
        <v>43163</v>
      </c>
      <c r="C12" s="20">
        <f>D11+G11-H11</f>
        <v>1137.0412842482597</v>
      </c>
      <c r="D12" s="17">
        <f>C12+(C12*0.03)</f>
        <v>1171.1525227757074</v>
      </c>
      <c r="E12" s="17">
        <f>C12/3250</f>
        <v>0.34985885669177219</v>
      </c>
      <c r="F12" s="28">
        <f>(D12-C12)/E12</f>
        <v>97.499999999999943</v>
      </c>
      <c r="G12" s="18"/>
      <c r="H12" s="18"/>
      <c r="I12" s="19">
        <f>E12*50/C12</f>
        <v>1.5384615384615385E-2</v>
      </c>
      <c r="J12" s="87"/>
    </row>
    <row r="13" spans="1:10" ht="13" thickBot="1">
      <c r="A13" s="78"/>
      <c r="B13" s="13"/>
      <c r="C13" s="22"/>
      <c r="D13" s="23"/>
      <c r="E13" s="23"/>
      <c r="F13" s="27"/>
      <c r="G13" s="23"/>
      <c r="H13" s="10"/>
      <c r="I13" s="24"/>
      <c r="J13" s="91"/>
    </row>
    <row r="14" spans="1:10">
      <c r="A14" s="103">
        <v>3</v>
      </c>
      <c r="B14" s="81">
        <f>B12+7</f>
        <v>43170</v>
      </c>
      <c r="C14" s="20">
        <f>D12+G12-H12</f>
        <v>1171.1525227757074</v>
      </c>
      <c r="D14" s="17">
        <f>C14+(C14*0.03)</f>
        <v>1206.2870984589786</v>
      </c>
      <c r="E14" s="17">
        <f>C14/3250</f>
        <v>0.36035462239252536</v>
      </c>
      <c r="F14" s="28">
        <f>(D14-C14)/E14</f>
        <v>97.49999999999973</v>
      </c>
      <c r="G14" s="18"/>
      <c r="H14" s="18"/>
      <c r="I14" s="19">
        <f>E14*50/C14</f>
        <v>1.5384615384615385E-2</v>
      </c>
      <c r="J14" s="87"/>
    </row>
    <row r="15" spans="1:10">
      <c r="A15" s="104"/>
      <c r="B15" s="81">
        <f>B14+7</f>
        <v>43177</v>
      </c>
      <c r="C15" s="20">
        <f>D14+G14-H14</f>
        <v>1206.2870984589786</v>
      </c>
      <c r="D15" s="17">
        <f>C15+(C15*0.03)</f>
        <v>1242.4757114127478</v>
      </c>
      <c r="E15" s="17">
        <f>C15/3250</f>
        <v>0.37116526106430109</v>
      </c>
      <c r="F15" s="28">
        <f>(D15-C15)/E15</f>
        <v>97.499999999999787</v>
      </c>
      <c r="G15" s="18"/>
      <c r="H15" s="18"/>
      <c r="I15" s="19">
        <f>E15*50/C15</f>
        <v>1.5384615384615384E-2</v>
      </c>
      <c r="J15" s="87"/>
    </row>
    <row r="16" spans="1:10">
      <c r="A16" s="104"/>
      <c r="B16" s="81">
        <f>B15+7</f>
        <v>43184</v>
      </c>
      <c r="C16" s="20">
        <f>D15+G15-H15</f>
        <v>1242.4757114127478</v>
      </c>
      <c r="D16" s="17">
        <f>C16+(C16*0.03)</f>
        <v>1279.7499827551303</v>
      </c>
      <c r="E16" s="17">
        <f>C16/3250</f>
        <v>0.38230021889623012</v>
      </c>
      <c r="F16" s="28">
        <f>(D16-C16)/E16</f>
        <v>97.500000000000071</v>
      </c>
      <c r="G16" s="18"/>
      <c r="H16" s="18"/>
      <c r="I16" s="19">
        <f>E16*50/C16</f>
        <v>1.5384615384615385E-2</v>
      </c>
      <c r="J16" s="87"/>
    </row>
    <row r="17" spans="1:11" ht="13.5" thickBot="1">
      <c r="A17" s="105"/>
      <c r="B17" s="81">
        <f>B16+7</f>
        <v>43191</v>
      </c>
      <c r="C17" s="20">
        <f>D16+G16-H16</f>
        <v>1279.7499827551303</v>
      </c>
      <c r="D17" s="17">
        <f>C17+(C17*0.03)</f>
        <v>1318.1424822377842</v>
      </c>
      <c r="E17" s="17">
        <f>C17/3250</f>
        <v>0.39376922546311699</v>
      </c>
      <c r="F17" s="28">
        <f>(D17-C17)/E17</f>
        <v>97.499999999999915</v>
      </c>
      <c r="G17" s="18"/>
      <c r="H17" s="80">
        <f>(D17-C4)*0.3</f>
        <v>-54.557255328664745</v>
      </c>
      <c r="I17" s="19">
        <f>E17*50/C17</f>
        <v>1.5384615384615382E-2</v>
      </c>
      <c r="J17" s="87"/>
      <c r="K17" s="102" t="s">
        <v>48</v>
      </c>
    </row>
    <row r="18" spans="1:11" ht="13" thickBot="1">
      <c r="A18" s="78"/>
      <c r="B18" s="13"/>
      <c r="C18" s="22"/>
      <c r="D18" s="23"/>
      <c r="E18" s="23"/>
      <c r="F18" s="27"/>
      <c r="G18" s="23"/>
      <c r="H18" s="10"/>
      <c r="I18" s="24"/>
      <c r="J18" s="91"/>
    </row>
    <row r="19" spans="1:11">
      <c r="A19" s="103">
        <v>4</v>
      </c>
      <c r="B19" s="81">
        <f>B17+7</f>
        <v>43198</v>
      </c>
      <c r="C19" s="20">
        <f>D17+G17-H17</f>
        <v>1372.6997375664489</v>
      </c>
      <c r="D19" s="17">
        <f>C19+(C19*0.03)</f>
        <v>1413.8807296934424</v>
      </c>
      <c r="E19" s="17">
        <f>C19/3250</f>
        <v>0.42236915002044584</v>
      </c>
      <c r="F19" s="28">
        <f>(D19-C19)/E19</f>
        <v>97.500000000000043</v>
      </c>
      <c r="G19" s="18"/>
      <c r="H19" s="18"/>
      <c r="I19" s="19">
        <f>E19*50/C19</f>
        <v>1.5384615384615385E-2</v>
      </c>
      <c r="J19" s="87"/>
    </row>
    <row r="20" spans="1:11">
      <c r="A20" s="104"/>
      <c r="B20" s="81">
        <f>B19+7</f>
        <v>43205</v>
      </c>
      <c r="C20" s="20">
        <f>D19+G19-H19</f>
        <v>1413.8807296934424</v>
      </c>
      <c r="D20" s="17">
        <f>C20+(C20*0.03)</f>
        <v>1456.2971515842457</v>
      </c>
      <c r="E20" s="17">
        <f>C20/3250</f>
        <v>0.43504022452105917</v>
      </c>
      <c r="F20" s="28">
        <f>(D20-C20)/E20</f>
        <v>97.500000000000185</v>
      </c>
      <c r="G20" s="18"/>
      <c r="H20" s="18"/>
      <c r="I20" s="19">
        <f>E20*50/C20</f>
        <v>1.5384615384615382E-2</v>
      </c>
      <c r="J20" s="87"/>
    </row>
    <row r="21" spans="1:11">
      <c r="A21" s="104"/>
      <c r="B21" s="81">
        <f>B20+7</f>
        <v>43212</v>
      </c>
      <c r="C21" s="20">
        <f>D20+G20-H20</f>
        <v>1456.2971515842457</v>
      </c>
      <c r="D21" s="17">
        <f>C21+(C21*0.03)</f>
        <v>1499.9860661317732</v>
      </c>
      <c r="E21" s="17">
        <f>C21/3250</f>
        <v>0.44809143125669099</v>
      </c>
      <c r="F21" s="28">
        <f>(D21-C21)/E21</f>
        <v>97.500000000000227</v>
      </c>
      <c r="G21" s="18"/>
      <c r="H21" s="18"/>
      <c r="I21" s="19">
        <f>E21*50/C21</f>
        <v>1.5384615384615384E-2</v>
      </c>
      <c r="J21" s="87"/>
    </row>
    <row r="22" spans="1:11" ht="13" thickBot="1">
      <c r="A22" s="105"/>
      <c r="B22" s="81">
        <f>B21+7</f>
        <v>43219</v>
      </c>
      <c r="C22" s="20">
        <f>D21+G21-H21</f>
        <v>1499.9860661317732</v>
      </c>
      <c r="D22" s="17">
        <f>C22+(C22*0.03)</f>
        <v>1544.9856481157265</v>
      </c>
      <c r="E22" s="17">
        <f>C22/3250</f>
        <v>0.46153417419439174</v>
      </c>
      <c r="F22" s="28">
        <f>(D22-C22)/E22</f>
        <v>97.500000000000114</v>
      </c>
      <c r="G22" s="18"/>
      <c r="H22" s="18"/>
      <c r="I22" s="19">
        <f>E22*50/C22</f>
        <v>1.5384615384615384E-2</v>
      </c>
      <c r="J22" s="87"/>
    </row>
    <row r="23" spans="1:11" ht="13" thickBot="1">
      <c r="A23" s="78"/>
      <c r="B23" s="13"/>
      <c r="C23" s="22"/>
      <c r="D23" s="23"/>
      <c r="E23" s="23"/>
      <c r="F23" s="27"/>
      <c r="G23" s="23"/>
      <c r="H23" s="10"/>
      <c r="I23" s="24"/>
      <c r="J23" s="86"/>
    </row>
    <row r="24" spans="1:11">
      <c r="A24" s="103">
        <v>5</v>
      </c>
      <c r="B24" s="81">
        <f>B22+7</f>
        <v>43226</v>
      </c>
      <c r="C24" s="20">
        <f>D22+G22-H22</f>
        <v>1544.9856481157265</v>
      </c>
      <c r="D24" s="17">
        <f>C24+(C24*0.03)</f>
        <v>1591.3352175591983</v>
      </c>
      <c r="E24" s="17">
        <f>C24/3250</f>
        <v>0.47538019942022353</v>
      </c>
      <c r="F24" s="28">
        <f>(D24-C24)/E24</f>
        <v>97.500000000000142</v>
      </c>
      <c r="G24" s="18"/>
      <c r="H24" s="18"/>
      <c r="I24" s="19">
        <f>E24*50/C24</f>
        <v>1.5384615384615384E-2</v>
      </c>
      <c r="J24" s="87"/>
    </row>
    <row r="25" spans="1:11">
      <c r="A25" s="104"/>
      <c r="B25" s="81">
        <f>B24+7</f>
        <v>43233</v>
      </c>
      <c r="C25" s="20">
        <f>D24+G24-H24</f>
        <v>1591.3352175591983</v>
      </c>
      <c r="D25" s="17">
        <f>C25+(C25*0.03)</f>
        <v>1639.0752740859743</v>
      </c>
      <c r="E25" s="17">
        <f>C25/3250</f>
        <v>0.48964160540283025</v>
      </c>
      <c r="F25" s="28">
        <f>(D25-C25)/E25</f>
        <v>97.500000000000142</v>
      </c>
      <c r="G25" s="18"/>
      <c r="H25" s="18"/>
      <c r="I25" s="19">
        <f>E25*50/C25</f>
        <v>1.5384615384615384E-2</v>
      </c>
      <c r="J25" s="87"/>
    </row>
    <row r="26" spans="1:11">
      <c r="A26" s="104"/>
      <c r="B26" s="81">
        <f>B25+7</f>
        <v>43240</v>
      </c>
      <c r="C26" s="20">
        <f>D25+G25-H25</f>
        <v>1639.0752740859743</v>
      </c>
      <c r="D26" s="17">
        <f>C26+(C26*0.03)</f>
        <v>1688.2475323085537</v>
      </c>
      <c r="E26" s="17">
        <f>C26/3250</f>
        <v>0.50433085356491514</v>
      </c>
      <c r="F26" s="28">
        <f>(D26-C26)/E26</f>
        <v>97.500000000000213</v>
      </c>
      <c r="G26" s="18"/>
      <c r="H26" s="18"/>
      <c r="I26" s="19">
        <f>E26*50/C26</f>
        <v>1.5384615384615384E-2</v>
      </c>
      <c r="J26" s="87"/>
    </row>
    <row r="27" spans="1:11" ht="13" thickBot="1">
      <c r="A27" s="105"/>
      <c r="B27" s="81">
        <f>B26+7</f>
        <v>43247</v>
      </c>
      <c r="C27" s="20">
        <f>D26+G26-H26</f>
        <v>1688.2475323085537</v>
      </c>
      <c r="D27" s="17">
        <f>C27+(C27*0.03)</f>
        <v>1738.8949582778102</v>
      </c>
      <c r="E27" s="17">
        <f>C27/3250</f>
        <v>0.51946077917186262</v>
      </c>
      <c r="F27" s="28">
        <f>(D27-C27)/E27</f>
        <v>97.499999999999943</v>
      </c>
      <c r="G27" s="18"/>
      <c r="H27" s="18"/>
      <c r="I27" s="19">
        <f>E27*50/C27</f>
        <v>1.5384615384615382E-2</v>
      </c>
      <c r="J27" s="90"/>
    </row>
    <row r="28" spans="1:11" ht="13" thickBot="1">
      <c r="A28" s="78"/>
      <c r="B28" s="13"/>
      <c r="C28" s="22"/>
      <c r="D28" s="23"/>
      <c r="E28" s="23"/>
      <c r="F28" s="27"/>
      <c r="G28" s="23"/>
      <c r="H28" s="10"/>
      <c r="I28" s="24"/>
      <c r="J28" s="86"/>
    </row>
    <row r="29" spans="1:11">
      <c r="A29" s="103">
        <v>6</v>
      </c>
      <c r="B29" s="81">
        <f>B27+7</f>
        <v>43254</v>
      </c>
      <c r="C29" s="20">
        <f>D27+G27-H27</f>
        <v>1738.8949582778102</v>
      </c>
      <c r="D29" s="17">
        <f>C29+(C29*0.03)</f>
        <v>1791.0618070261446</v>
      </c>
      <c r="E29" s="17">
        <f>C29/3250</f>
        <v>0.53504460254701858</v>
      </c>
      <c r="F29" s="28">
        <f>(D29-C29)/E29</f>
        <v>97.500000000000085</v>
      </c>
      <c r="G29" s="18"/>
      <c r="H29" s="18"/>
      <c r="I29" s="19">
        <f>E29*50/C29</f>
        <v>1.5384615384615385E-2</v>
      </c>
      <c r="J29" s="87"/>
    </row>
    <row r="30" spans="1:11">
      <c r="A30" s="104"/>
      <c r="B30" s="81">
        <f>B29+7</f>
        <v>43261</v>
      </c>
      <c r="C30" s="20">
        <f>D29+G29-H29</f>
        <v>1791.0618070261446</v>
      </c>
      <c r="D30" s="17">
        <f>C30+(C30*0.03)</f>
        <v>1844.793661236929</v>
      </c>
      <c r="E30" s="17">
        <f>C30/3250</f>
        <v>0.55109594062342915</v>
      </c>
      <c r="F30" s="28">
        <f>(D30-C30)/E30</f>
        <v>97.500000000000057</v>
      </c>
      <c r="G30" s="18"/>
      <c r="H30" s="18"/>
      <c r="I30" s="19">
        <f>E30*50/C30</f>
        <v>1.5384615384615385E-2</v>
      </c>
      <c r="J30" s="87"/>
    </row>
    <row r="31" spans="1:11">
      <c r="A31" s="104"/>
      <c r="B31" s="81">
        <f>B30+7</f>
        <v>43268</v>
      </c>
      <c r="C31" s="20">
        <f>D30+G30-H30</f>
        <v>1844.793661236929</v>
      </c>
      <c r="D31" s="17">
        <f>C31+(C31*0.03)</f>
        <v>1900.137471074037</v>
      </c>
      <c r="E31" s="17">
        <f>C31/3250</f>
        <v>0.56762881884213201</v>
      </c>
      <c r="F31" s="28">
        <f>(D31-C31)/E31</f>
        <v>97.500000000000199</v>
      </c>
      <c r="G31" s="18"/>
      <c r="H31" s="18"/>
      <c r="I31" s="19">
        <f>E31*50/C31</f>
        <v>1.5384615384615385E-2</v>
      </c>
      <c r="J31" s="87"/>
    </row>
    <row r="32" spans="1:11" ht="13.5" thickBot="1">
      <c r="A32" s="105"/>
      <c r="B32" s="81">
        <f>B31+7</f>
        <v>43275</v>
      </c>
      <c r="C32" s="20">
        <f>D31+G31-H31</f>
        <v>1900.137471074037</v>
      </c>
      <c r="D32" s="17">
        <f>C32+(C32*0.03)</f>
        <v>1957.141595206258</v>
      </c>
      <c r="E32" s="17">
        <f>C32/3250</f>
        <v>0.58465768340739599</v>
      </c>
      <c r="F32" s="28">
        <f>(D32-C32)/E32</f>
        <v>97.499999999999858</v>
      </c>
      <c r="G32" s="18"/>
      <c r="H32" s="80">
        <f>(D32-C19)*0.35</f>
        <v>204.55465017393317</v>
      </c>
      <c r="I32" s="19">
        <f>E32*50/C32</f>
        <v>1.5384615384615385E-2</v>
      </c>
      <c r="J32" s="87"/>
      <c r="K32" s="102" t="s">
        <v>49</v>
      </c>
    </row>
    <row r="33" spans="1:11" ht="13" thickBot="1">
      <c r="A33" s="78"/>
      <c r="B33" s="13"/>
      <c r="C33" s="22"/>
      <c r="D33" s="23"/>
      <c r="E33" s="23"/>
      <c r="F33" s="27"/>
      <c r="G33" s="23"/>
      <c r="H33" s="10"/>
      <c r="I33" s="24"/>
      <c r="J33" s="86"/>
    </row>
    <row r="34" spans="1:11">
      <c r="A34" s="103">
        <v>7</v>
      </c>
      <c r="B34" s="81">
        <f>B32+7</f>
        <v>43282</v>
      </c>
      <c r="C34" s="20">
        <f>D32+G32-H32</f>
        <v>1752.5869450323248</v>
      </c>
      <c r="D34" s="17">
        <f>C34+(C34*0.03)</f>
        <v>1805.1645533832946</v>
      </c>
      <c r="E34" s="17">
        <f>C34/3250</f>
        <v>0.53925752154840767</v>
      </c>
      <c r="F34" s="28">
        <f>(D34-C34)/E34</f>
        <v>97.499999999999986</v>
      </c>
      <c r="G34" s="18"/>
      <c r="H34" s="18"/>
      <c r="I34" s="19">
        <f>E34*50/C34</f>
        <v>1.5384615384615385E-2</v>
      </c>
      <c r="J34" s="90"/>
    </row>
    <row r="35" spans="1:11">
      <c r="A35" s="104"/>
      <c r="B35" s="81">
        <f>B34+7</f>
        <v>43289</v>
      </c>
      <c r="C35" s="20">
        <f>D34+G34-H34</f>
        <v>1805.1645533832946</v>
      </c>
      <c r="D35" s="17">
        <f>C35+(C35*0.03)</f>
        <v>1859.3194899847933</v>
      </c>
      <c r="E35" s="17">
        <f>C35/3250</f>
        <v>0.55543524719485982</v>
      </c>
      <c r="F35" s="28">
        <f>(D35-C35)/E35</f>
        <v>97.499999999999901</v>
      </c>
      <c r="G35" s="18"/>
      <c r="H35" s="18"/>
      <c r="I35" s="19">
        <f>E35*50/C35</f>
        <v>1.5384615384615382E-2</v>
      </c>
      <c r="J35" s="87"/>
    </row>
    <row r="36" spans="1:11">
      <c r="A36" s="104"/>
      <c r="B36" s="81">
        <f>B35+7</f>
        <v>43296</v>
      </c>
      <c r="C36" s="20">
        <f>D35+G35-H35</f>
        <v>1859.3194899847933</v>
      </c>
      <c r="D36" s="17">
        <f>C36+(C36*0.03)</f>
        <v>1915.0990746843372</v>
      </c>
      <c r="E36" s="17">
        <f>C36/3250</f>
        <v>0.57209830461070565</v>
      </c>
      <c r="F36" s="28">
        <f>(D36-C36)/E36</f>
        <v>97.500000000000128</v>
      </c>
      <c r="G36" s="18"/>
      <c r="H36" s="18"/>
      <c r="I36" s="19">
        <f>E36*50/C36</f>
        <v>1.5384615384615385E-2</v>
      </c>
      <c r="J36" s="87"/>
    </row>
    <row r="37" spans="1:11" ht="13" thickBot="1">
      <c r="A37" s="105"/>
      <c r="B37" s="81">
        <f>B36+7</f>
        <v>43303</v>
      </c>
      <c r="C37" s="20">
        <f>D36+G36-H36</f>
        <v>1915.0990746843372</v>
      </c>
      <c r="D37" s="17">
        <f>C37+(C37*0.03)</f>
        <v>1972.5520469248672</v>
      </c>
      <c r="E37" s="17">
        <f>C37/3250</f>
        <v>0.58926125374902683</v>
      </c>
      <c r="F37" s="28">
        <f>(D37-C37)/E37</f>
        <v>97.499999999999829</v>
      </c>
      <c r="G37" s="80"/>
      <c r="H37" s="80"/>
      <c r="I37" s="19">
        <f>E37*50/C37</f>
        <v>1.5384615384615384E-2</v>
      </c>
      <c r="J37" s="87"/>
    </row>
    <row r="38" spans="1:11" ht="13" thickBot="1">
      <c r="A38" s="78"/>
      <c r="B38" s="13"/>
      <c r="C38" s="22"/>
      <c r="D38" s="23"/>
      <c r="E38" s="23"/>
      <c r="F38" s="27"/>
      <c r="G38" s="23"/>
      <c r="H38" s="10"/>
      <c r="I38" s="24"/>
      <c r="J38" s="86"/>
    </row>
    <row r="39" spans="1:11">
      <c r="A39" s="103">
        <v>8</v>
      </c>
      <c r="B39" s="81">
        <f>B37+7</f>
        <v>43310</v>
      </c>
      <c r="C39" s="20">
        <f>D37+G37-H37</f>
        <v>1972.5520469248672</v>
      </c>
      <c r="D39" s="17">
        <f>C39+(C39*0.03)</f>
        <v>2031.7286083326132</v>
      </c>
      <c r="E39" s="17">
        <f>C39/3250</f>
        <v>0.6069390913614976</v>
      </c>
      <c r="F39" s="28">
        <f>(D39-C39)/E39</f>
        <v>97.500000000000014</v>
      </c>
      <c r="G39" s="18"/>
      <c r="H39" s="18"/>
      <c r="I39" s="19">
        <f>E39*50/C39</f>
        <v>1.5384615384615384E-2</v>
      </c>
      <c r="J39" s="87"/>
    </row>
    <row r="40" spans="1:11">
      <c r="A40" s="104"/>
      <c r="B40" s="81">
        <f>B39+7</f>
        <v>43317</v>
      </c>
      <c r="C40" s="20">
        <f>D39+G39-H39</f>
        <v>2031.7286083326132</v>
      </c>
      <c r="D40" s="17">
        <f>C40+(C40*0.03)</f>
        <v>2092.6804665825916</v>
      </c>
      <c r="E40" s="17">
        <f>C40/3250</f>
        <v>0.62514726410234256</v>
      </c>
      <c r="F40" s="28">
        <f>(D40-C40)/E40</f>
        <v>97.499999999999972</v>
      </c>
      <c r="G40" s="18"/>
      <c r="H40" s="18"/>
      <c r="I40" s="19">
        <f>E40*50/C40</f>
        <v>1.5384615384615384E-2</v>
      </c>
      <c r="J40" s="87"/>
    </row>
    <row r="41" spans="1:11">
      <c r="A41" s="104"/>
      <c r="B41" s="81">
        <f>B40+7</f>
        <v>43324</v>
      </c>
      <c r="C41" s="20">
        <f>D40+G40-H40</f>
        <v>2092.6804665825916</v>
      </c>
      <c r="D41" s="17">
        <f>C41+(C41*0.03)</f>
        <v>2155.4608805800694</v>
      </c>
      <c r="E41" s="17">
        <f>C41/3250</f>
        <v>0.64390168202541276</v>
      </c>
      <c r="F41" s="28">
        <f>(D41-C41)/E41</f>
        <v>97.500000000000099</v>
      </c>
      <c r="G41" s="18"/>
      <c r="H41" s="18"/>
      <c r="I41" s="19">
        <f>E41*50/C41</f>
        <v>1.5384615384615384E-2</v>
      </c>
      <c r="J41" s="87"/>
    </row>
    <row r="42" spans="1:11" ht="13" thickBot="1">
      <c r="A42" s="105"/>
      <c r="B42" s="81">
        <f>B41+7</f>
        <v>43331</v>
      </c>
      <c r="C42" s="20">
        <f>D41+G41-H41</f>
        <v>2155.4608805800694</v>
      </c>
      <c r="D42" s="17">
        <f>C42+(C42*0.03)</f>
        <v>2220.1247069974715</v>
      </c>
      <c r="E42" s="17">
        <f>C42/3250</f>
        <v>0.66321873248617524</v>
      </c>
      <c r="F42" s="28">
        <f>(D42-C42)/E42</f>
        <v>97.500000000000028</v>
      </c>
      <c r="G42" s="80"/>
      <c r="H42" s="80"/>
      <c r="I42" s="19">
        <f>E42*50/C42</f>
        <v>1.5384615384615385E-2</v>
      </c>
      <c r="J42" s="87"/>
    </row>
    <row r="43" spans="1:11" ht="13" thickBot="1">
      <c r="A43" s="78"/>
      <c r="B43" s="13"/>
      <c r="C43" s="22"/>
      <c r="D43" s="23"/>
      <c r="E43" s="23"/>
      <c r="F43" s="27"/>
      <c r="G43" s="23"/>
      <c r="H43" s="10"/>
      <c r="I43" s="24"/>
      <c r="J43" s="86"/>
    </row>
    <row r="44" spans="1:11">
      <c r="A44" s="103">
        <v>9</v>
      </c>
      <c r="B44" s="81">
        <f>B42+7</f>
        <v>43338</v>
      </c>
      <c r="C44" s="20">
        <f>D42+G42-H42</f>
        <v>2220.1247069974715</v>
      </c>
      <c r="D44" s="17">
        <f>C44+(C44*0.03)</f>
        <v>2286.7284482073956</v>
      </c>
      <c r="E44" s="17">
        <f>C44/3250</f>
        <v>0.68311529446076047</v>
      </c>
      <c r="F44" s="28">
        <f>(D44-C44)/E44</f>
        <v>97.499999999999801</v>
      </c>
      <c r="G44" s="18"/>
      <c r="H44" s="18"/>
      <c r="I44" s="19">
        <f>E44*50/C44</f>
        <v>1.5384615384615385E-2</v>
      </c>
      <c r="J44" s="85"/>
    </row>
    <row r="45" spans="1:11">
      <c r="A45" s="104"/>
      <c r="B45" s="81">
        <f>B44+7</f>
        <v>43345</v>
      </c>
      <c r="C45" s="20">
        <f>D44+G44-H44</f>
        <v>2286.7284482073956</v>
      </c>
      <c r="D45" s="17">
        <f>C45+(C45*0.03)</f>
        <v>2355.3303016536174</v>
      </c>
      <c r="E45" s="17">
        <f>C45/3250</f>
        <v>0.70360875329458328</v>
      </c>
      <c r="F45" s="28">
        <f>(D45-C45)/E45</f>
        <v>97.5</v>
      </c>
      <c r="G45" s="18"/>
      <c r="H45" s="18"/>
      <c r="I45" s="19">
        <f>E45*50/C45</f>
        <v>1.5384615384615384E-2</v>
      </c>
      <c r="J45" s="85"/>
    </row>
    <row r="46" spans="1:11">
      <c r="A46" s="104"/>
      <c r="B46" s="81">
        <f>B45+7</f>
        <v>43352</v>
      </c>
      <c r="C46" s="20">
        <f>D45+G45-H45</f>
        <v>2355.3303016536174</v>
      </c>
      <c r="D46" s="17">
        <f>C46+(C46*0.03)</f>
        <v>2425.9902107032258</v>
      </c>
      <c r="E46" s="17">
        <f>C46/3250</f>
        <v>0.72471701589342075</v>
      </c>
      <c r="F46" s="28">
        <f>(D46-C46)/E46</f>
        <v>97.499999999999773</v>
      </c>
      <c r="G46" s="18"/>
      <c r="H46" s="18"/>
      <c r="I46" s="19">
        <f>E46*50/C46</f>
        <v>1.5384615384615385E-2</v>
      </c>
      <c r="J46" s="85"/>
    </row>
    <row r="47" spans="1:11" ht="13.5" thickBot="1">
      <c r="A47" s="105"/>
      <c r="B47" s="81">
        <f>B46+7</f>
        <v>43359</v>
      </c>
      <c r="C47" s="20">
        <f>D46+G46-H46</f>
        <v>2425.9902107032258</v>
      </c>
      <c r="D47" s="17">
        <f>C47+(C47*0.03)</f>
        <v>2498.7699170243227</v>
      </c>
      <c r="E47" s="17">
        <f>C47/3250</f>
        <v>0.74645852637022336</v>
      </c>
      <c r="F47" s="28">
        <f>(D47-C47)/E47</f>
        <v>97.500000000000171</v>
      </c>
      <c r="G47" s="80"/>
      <c r="H47" s="80">
        <f>(D47-C34)*0.35</f>
        <v>261.16404019719926</v>
      </c>
      <c r="I47" s="19">
        <f>E47*50/C47</f>
        <v>1.5384615384615384E-2</v>
      </c>
      <c r="J47" s="85"/>
      <c r="K47" s="102" t="s">
        <v>49</v>
      </c>
    </row>
    <row r="48" spans="1:11" ht="13" thickBot="1">
      <c r="A48" s="78"/>
      <c r="B48" s="13"/>
      <c r="C48" s="22"/>
      <c r="D48" s="23"/>
      <c r="E48" s="23"/>
      <c r="F48" s="27"/>
      <c r="G48" s="23"/>
      <c r="H48" s="10"/>
      <c r="I48" s="24"/>
      <c r="J48" s="86"/>
    </row>
    <row r="49" spans="1:11">
      <c r="A49" s="103">
        <v>10</v>
      </c>
      <c r="B49" s="81">
        <f>B47+7</f>
        <v>43366</v>
      </c>
      <c r="C49" s="20">
        <f>D47+G47-H47</f>
        <v>2237.6058768271232</v>
      </c>
      <c r="D49" s="17">
        <f>C49+(C49*0.03)</f>
        <v>2304.7340531319369</v>
      </c>
      <c r="E49" s="17">
        <f>C49/3250</f>
        <v>0.68849411594680709</v>
      </c>
      <c r="F49" s="28">
        <f>(D49-C49)/E49</f>
        <v>97.499999999999986</v>
      </c>
      <c r="G49" s="18"/>
      <c r="H49" s="18"/>
      <c r="I49" s="19">
        <f>E49*50/C49</f>
        <v>1.5384615384615382E-2</v>
      </c>
      <c r="J49" s="85"/>
    </row>
    <row r="50" spans="1:11">
      <c r="A50" s="104"/>
      <c r="B50" s="81">
        <f>B49+7</f>
        <v>43373</v>
      </c>
      <c r="C50" s="20">
        <f>D49+G49-H49</f>
        <v>2304.7340531319369</v>
      </c>
      <c r="D50" s="17">
        <f>C50+(C50*0.03)</f>
        <v>2373.8760747258948</v>
      </c>
      <c r="E50" s="17">
        <f>C50/3250</f>
        <v>0.7091489394252114</v>
      </c>
      <c r="F50" s="28">
        <f>(D50-C50)/E50</f>
        <v>97.499999999999716</v>
      </c>
      <c r="G50" s="18"/>
      <c r="H50" s="18"/>
      <c r="I50" s="19">
        <f>E50*50/C50</f>
        <v>1.5384615384615387E-2</v>
      </c>
      <c r="J50" s="85"/>
    </row>
    <row r="51" spans="1:11">
      <c r="A51" s="104"/>
      <c r="B51" s="81">
        <f>B50+7</f>
        <v>43380</v>
      </c>
      <c r="C51" s="20">
        <f>D50+G50-H50</f>
        <v>2373.8760747258948</v>
      </c>
      <c r="D51" s="17">
        <f>C51+(C51*0.03)</f>
        <v>2445.0923569676715</v>
      </c>
      <c r="E51" s="17">
        <f>C51/3250</f>
        <v>0.73042340760796765</v>
      </c>
      <c r="F51" s="28">
        <f>(D51-C51)/E51</f>
        <v>97.499999999999872</v>
      </c>
      <c r="G51" s="18"/>
      <c r="H51" s="18"/>
      <c r="I51" s="19">
        <f>E51*50/C51</f>
        <v>1.5384615384615384E-2</v>
      </c>
      <c r="J51" s="85"/>
    </row>
    <row r="52" spans="1:11" ht="13" thickBot="1">
      <c r="A52" s="105"/>
      <c r="B52" s="81">
        <f>B51+7</f>
        <v>43387</v>
      </c>
      <c r="C52" s="20">
        <f>D51+G51-H51</f>
        <v>2445.0923569676715</v>
      </c>
      <c r="D52" s="17">
        <f>C52+(C52*0.03)</f>
        <v>2518.4451276767018</v>
      </c>
      <c r="E52" s="17">
        <f>C52/3250</f>
        <v>0.75233610983620658</v>
      </c>
      <c r="F52" s="28">
        <f>(D52-C52)/E52</f>
        <v>97.500000000000085</v>
      </c>
      <c r="G52" s="80"/>
      <c r="H52" s="80"/>
      <c r="I52" s="19">
        <f>E52*50/C52</f>
        <v>1.5384615384615385E-2</v>
      </c>
      <c r="J52" s="85"/>
    </row>
    <row r="53" spans="1:11" ht="13" thickBot="1">
      <c r="A53" s="78"/>
      <c r="B53" s="13"/>
      <c r="C53" s="22"/>
      <c r="D53" s="23"/>
      <c r="E53" s="23"/>
      <c r="F53" s="27"/>
      <c r="G53" s="23"/>
      <c r="H53" s="10"/>
      <c r="I53" s="24"/>
      <c r="J53" s="86"/>
    </row>
    <row r="54" spans="1:11">
      <c r="A54" s="103">
        <v>11</v>
      </c>
      <c r="B54" s="81">
        <f>B52+7</f>
        <v>43394</v>
      </c>
      <c r="C54" s="20">
        <f>D52+G52-H52</f>
        <v>2518.4451276767018</v>
      </c>
      <c r="D54" s="17">
        <f>C54+(C54*0.03)</f>
        <v>2593.9984815070029</v>
      </c>
      <c r="E54" s="17">
        <f>C54/3250</f>
        <v>0.77490619313129283</v>
      </c>
      <c r="F54" s="28">
        <f>(D54-C54)/E54</f>
        <v>97.500000000000128</v>
      </c>
      <c r="G54" s="18"/>
      <c r="H54" s="18"/>
      <c r="I54" s="19">
        <f>E54*50/C54</f>
        <v>1.5384615384615385E-2</v>
      </c>
      <c r="J54" s="85"/>
    </row>
    <row r="55" spans="1:11">
      <c r="A55" s="104"/>
      <c r="B55" s="81">
        <f>B54+7</f>
        <v>43401</v>
      </c>
      <c r="C55" s="20">
        <f>D54+G54-H54</f>
        <v>2593.9984815070029</v>
      </c>
      <c r="D55" s="17">
        <f>C55+(C55*0.03)</f>
        <v>2671.8184359522129</v>
      </c>
      <c r="E55" s="17">
        <f>C55/3250</f>
        <v>0.79815337892523164</v>
      </c>
      <c r="F55" s="28">
        <f>(D55-C55)/E55</f>
        <v>97.499999999999872</v>
      </c>
      <c r="G55" s="18"/>
      <c r="H55" s="18"/>
      <c r="I55" s="19">
        <f>E55*50/C55</f>
        <v>1.5384615384615384E-2</v>
      </c>
      <c r="J55" s="85"/>
    </row>
    <row r="56" spans="1:11">
      <c r="A56" s="104"/>
      <c r="B56" s="81">
        <f>B55+7</f>
        <v>43408</v>
      </c>
      <c r="C56" s="20">
        <f>D55+G55-H55</f>
        <v>2671.8184359522129</v>
      </c>
      <c r="D56" s="17">
        <f>C56+(C56*0.03)</f>
        <v>2751.9729890307794</v>
      </c>
      <c r="E56" s="17">
        <f>C56/3250</f>
        <v>0.82209798029298853</v>
      </c>
      <c r="F56" s="28">
        <f>(D56-C56)/E56</f>
        <v>97.500000000000199</v>
      </c>
      <c r="G56" s="18"/>
      <c r="H56" s="18"/>
      <c r="I56" s="19">
        <f>E56*50/C56</f>
        <v>1.5384615384615384E-2</v>
      </c>
      <c r="J56" s="85"/>
    </row>
    <row r="57" spans="1:11" ht="13" thickBot="1">
      <c r="A57" s="105"/>
      <c r="B57" s="81">
        <f>B56+7</f>
        <v>43415</v>
      </c>
      <c r="C57" s="20">
        <f>D56+G56-H56</f>
        <v>2751.9729890307794</v>
      </c>
      <c r="D57" s="17">
        <f>C57+(C57*0.03)</f>
        <v>2834.5321787017028</v>
      </c>
      <c r="E57" s="17">
        <f>C57/3250</f>
        <v>0.84676091970177825</v>
      </c>
      <c r="F57" s="28">
        <f>(D57-C57)/E57</f>
        <v>97.500000000000014</v>
      </c>
      <c r="G57" s="80"/>
      <c r="H57" s="80"/>
      <c r="I57" s="19">
        <f>E57*50/C57</f>
        <v>1.5384615384615384E-2</v>
      </c>
      <c r="J57" s="85"/>
    </row>
    <row r="58" spans="1:11" ht="13" thickBot="1">
      <c r="A58" s="78"/>
      <c r="B58" s="13"/>
      <c r="C58" s="22"/>
      <c r="D58" s="23"/>
      <c r="E58" s="23"/>
      <c r="F58" s="27"/>
      <c r="G58" s="23"/>
      <c r="H58" s="10"/>
      <c r="I58" s="24"/>
      <c r="J58" s="86"/>
    </row>
    <row r="59" spans="1:11">
      <c r="A59" s="103">
        <v>12</v>
      </c>
      <c r="B59" s="81">
        <f>B57+7</f>
        <v>43422</v>
      </c>
      <c r="C59" s="20">
        <f>D57+G57-H57</f>
        <v>2834.5321787017028</v>
      </c>
      <c r="D59" s="17">
        <f>C59+(C59*0.03)</f>
        <v>2919.5681440627541</v>
      </c>
      <c r="E59" s="17">
        <f>C59/3250</f>
        <v>0.87216374729283164</v>
      </c>
      <c r="F59" s="28">
        <f>(D59-C59)/E59</f>
        <v>97.500000000000185</v>
      </c>
      <c r="G59" s="18"/>
      <c r="H59" s="18"/>
      <c r="I59" s="19">
        <f>E59*50/C59</f>
        <v>1.5384615384615384E-2</v>
      </c>
      <c r="J59" s="85"/>
    </row>
    <row r="60" spans="1:11">
      <c r="A60" s="104"/>
      <c r="B60" s="81">
        <f>B59+7</f>
        <v>43429</v>
      </c>
      <c r="C60" s="20">
        <f>D59+G59-H59</f>
        <v>2919.5681440627541</v>
      </c>
      <c r="D60" s="17">
        <f>C60+(C60*0.03)</f>
        <v>3007.1551883846369</v>
      </c>
      <c r="E60" s="17">
        <f>C60/3250</f>
        <v>0.89832865971161668</v>
      </c>
      <c r="F60" s="28">
        <f>(D60-C60)/E60</f>
        <v>97.500000000000171</v>
      </c>
      <c r="G60" s="18"/>
      <c r="H60" s="18"/>
      <c r="I60" s="19">
        <f>E60*50/C60</f>
        <v>1.5384615384615385E-2</v>
      </c>
      <c r="J60" s="85"/>
    </row>
    <row r="61" spans="1:11">
      <c r="A61" s="104"/>
      <c r="B61" s="81">
        <f>B60+7</f>
        <v>43436</v>
      </c>
      <c r="C61" s="20">
        <f>D60+G60-H60</f>
        <v>3007.1551883846369</v>
      </c>
      <c r="D61" s="17">
        <f>C61+(C61*0.03)</f>
        <v>3097.3698440361759</v>
      </c>
      <c r="E61" s="17">
        <f>C61/3250</f>
        <v>0.92527851950296514</v>
      </c>
      <c r="F61" s="28">
        <f>(D61-C61)/E61</f>
        <v>97.499999999999929</v>
      </c>
      <c r="G61" s="18"/>
      <c r="H61" s="18"/>
      <c r="I61" s="19">
        <f>E61*50/C61</f>
        <v>1.5384615384615384E-2</v>
      </c>
      <c r="J61" s="85"/>
    </row>
    <row r="62" spans="1:11" ht="13.5" thickBot="1">
      <c r="A62" s="105"/>
      <c r="B62" s="81">
        <f>B61+7</f>
        <v>43443</v>
      </c>
      <c r="C62" s="20">
        <f>D61+G61-H61</f>
        <v>3097.3698440361759</v>
      </c>
      <c r="D62" s="17">
        <f>C62+(C62*0.03)</f>
        <v>3190.2909393572613</v>
      </c>
      <c r="E62" s="17">
        <f>C62/3250</f>
        <v>0.95303687508805413</v>
      </c>
      <c r="F62" s="28">
        <f>(D62-C62)/E62</f>
        <v>97.500000000000156</v>
      </c>
      <c r="G62" s="80"/>
      <c r="H62" s="80">
        <f>(D62-C49)*0.35</f>
        <v>333.43977188554834</v>
      </c>
      <c r="I62" s="19">
        <f>E62*50/C62</f>
        <v>1.5384615384615384E-2</v>
      </c>
      <c r="J62" s="85"/>
      <c r="K62" s="102" t="s">
        <v>49</v>
      </c>
    </row>
    <row r="63" spans="1:11" ht="13" thickBot="1">
      <c r="A63" s="78"/>
      <c r="B63" s="13"/>
      <c r="C63" s="22"/>
      <c r="D63" s="23"/>
      <c r="E63" s="23"/>
      <c r="F63" s="27"/>
      <c r="G63" s="23"/>
      <c r="H63" s="10"/>
      <c r="I63" s="24"/>
      <c r="J63" s="86"/>
    </row>
    <row r="64" spans="1:11">
      <c r="A64" s="103">
        <v>13</v>
      </c>
      <c r="B64" s="81">
        <f>B62+7</f>
        <v>43450</v>
      </c>
      <c r="C64" s="20">
        <f>D62+G62-H62</f>
        <v>2856.8511674717129</v>
      </c>
      <c r="D64" s="17">
        <f>C64+(C64*0.03)</f>
        <v>2942.5567024958641</v>
      </c>
      <c r="E64" s="17">
        <f>C64/3250</f>
        <v>0.87903112845283471</v>
      </c>
      <c r="F64" s="28">
        <f>(D64-C64)/E64</f>
        <v>97.499999999999829</v>
      </c>
      <c r="G64" s="17"/>
      <c r="H64" s="79"/>
      <c r="I64" s="19">
        <f>E64*50/C64</f>
        <v>1.5384615384615385E-2</v>
      </c>
      <c r="J64" s="85"/>
    </row>
    <row r="65" spans="1:11">
      <c r="A65" s="104"/>
      <c r="B65" s="81">
        <f>B64+7</f>
        <v>43457</v>
      </c>
      <c r="C65" s="20">
        <f>D64+G64-H64</f>
        <v>2942.5567024958641</v>
      </c>
      <c r="D65" s="17">
        <f>C65+(C65*0.03)</f>
        <v>3030.8334035707398</v>
      </c>
      <c r="E65" s="17">
        <f>C65/3250</f>
        <v>0.90540206230641973</v>
      </c>
      <c r="F65" s="28">
        <f>(D65-C65)/E65</f>
        <v>97.499999999999801</v>
      </c>
      <c r="G65" s="17"/>
      <c r="H65" s="79"/>
      <c r="I65" s="19">
        <f>E65*50/C65</f>
        <v>1.5384615384615384E-2</v>
      </c>
      <c r="J65" s="85"/>
    </row>
    <row r="66" spans="1:11">
      <c r="A66" s="104"/>
      <c r="B66" s="81">
        <f>B65+7</f>
        <v>43464</v>
      </c>
      <c r="C66" s="20">
        <f>D65+G65-H65</f>
        <v>3030.8334035707398</v>
      </c>
      <c r="D66" s="17">
        <f>C66+(C66*0.03)</f>
        <v>3121.7584056778619</v>
      </c>
      <c r="E66" s="17">
        <f>C66/3250</f>
        <v>0.9325641241756123</v>
      </c>
      <c r="F66" s="28">
        <f>(D66-C66)/E66</f>
        <v>97.499999999999844</v>
      </c>
      <c r="G66" s="17"/>
      <c r="H66" s="79"/>
      <c r="I66" s="19">
        <f>E66*50/C66</f>
        <v>1.5384615384615385E-2</v>
      </c>
      <c r="J66" s="85"/>
    </row>
    <row r="67" spans="1:11" ht="13" thickBot="1">
      <c r="A67" s="105"/>
      <c r="B67" s="81">
        <f>B66+7</f>
        <v>43471</v>
      </c>
      <c r="C67" s="20">
        <f>D66+G66-H66</f>
        <v>3121.7584056778619</v>
      </c>
      <c r="D67" s="17">
        <f>C67+(C67*0.03)</f>
        <v>3215.4111578481979</v>
      </c>
      <c r="E67" s="17">
        <f>C67/3250</f>
        <v>0.96054104790088057</v>
      </c>
      <c r="F67" s="28">
        <f>(D67-C67)/E67</f>
        <v>97.500000000000199</v>
      </c>
      <c r="G67" s="80"/>
      <c r="H67" s="80"/>
      <c r="I67" s="19">
        <f>E67*50/C67</f>
        <v>1.5384615384615385E-2</v>
      </c>
      <c r="J67" s="85"/>
    </row>
    <row r="68" spans="1:11" ht="13" thickBot="1">
      <c r="A68" s="78"/>
      <c r="B68" s="13"/>
      <c r="C68" s="22"/>
      <c r="D68" s="23"/>
      <c r="E68" s="23"/>
      <c r="F68" s="27"/>
      <c r="G68" s="23"/>
      <c r="H68" s="10"/>
      <c r="I68" s="24"/>
      <c r="J68" s="86"/>
    </row>
    <row r="69" spans="1:11">
      <c r="A69" s="103">
        <v>14</v>
      </c>
      <c r="B69" s="81">
        <f>B67+7</f>
        <v>43478</v>
      </c>
      <c r="C69" s="20">
        <f>D67+G67-H67</f>
        <v>3215.4111578481979</v>
      </c>
      <c r="D69" s="17">
        <f>C69+(C69*0.03)</f>
        <v>3311.8734925836438</v>
      </c>
      <c r="E69" s="17">
        <f>C69/3250</f>
        <v>0.98935727933790707</v>
      </c>
      <c r="F69" s="28">
        <f>(D69-C69)/E69</f>
        <v>97.499999999999957</v>
      </c>
      <c r="G69" s="18"/>
      <c r="H69" s="18"/>
      <c r="I69" s="19">
        <f>E69*50/C69</f>
        <v>1.5384615384615384E-2</v>
      </c>
      <c r="J69" s="85"/>
    </row>
    <row r="70" spans="1:11">
      <c r="A70" s="104"/>
      <c r="B70" s="81">
        <f>B69+7</f>
        <v>43485</v>
      </c>
      <c r="C70" s="20">
        <f>D69+G69-H69</f>
        <v>3311.8734925836438</v>
      </c>
      <c r="D70" s="17">
        <f>C70+(C70*0.03)</f>
        <v>3411.2296973611533</v>
      </c>
      <c r="E70" s="17">
        <f>C70/3250</f>
        <v>1.0190379977180442</v>
      </c>
      <c r="F70" s="28">
        <f>(D70-C70)/E70</f>
        <v>97.500000000000142</v>
      </c>
      <c r="G70" s="18"/>
      <c r="H70" s="18"/>
      <c r="I70" s="19">
        <f>E70*50/C70</f>
        <v>1.5384615384615384E-2</v>
      </c>
      <c r="J70" s="85"/>
    </row>
    <row r="71" spans="1:11">
      <c r="A71" s="104"/>
      <c r="B71" s="81">
        <f>B70+7</f>
        <v>43492</v>
      </c>
      <c r="C71" s="20">
        <f>D70+G70-H70</f>
        <v>3411.2296973611533</v>
      </c>
      <c r="D71" s="17">
        <f>C71+(C71*0.03)</f>
        <v>3513.5665882819881</v>
      </c>
      <c r="E71" s="17">
        <f>C71/3250</f>
        <v>1.0496091376495855</v>
      </c>
      <c r="F71" s="28">
        <f>(D71-C71)/E71</f>
        <v>97.500000000000185</v>
      </c>
      <c r="G71" s="18"/>
      <c r="H71" s="18"/>
      <c r="I71" s="19">
        <f>E71*50/C71</f>
        <v>1.5384615384615382E-2</v>
      </c>
      <c r="J71" s="85"/>
    </row>
    <row r="72" spans="1:11" ht="13" thickBot="1">
      <c r="A72" s="105"/>
      <c r="B72" s="81">
        <f>B71+7</f>
        <v>43499</v>
      </c>
      <c r="C72" s="20">
        <f>D71+G71-H71</f>
        <v>3513.5665882819881</v>
      </c>
      <c r="D72" s="17">
        <f>C72+(C72*0.03)</f>
        <v>3618.9735859304478</v>
      </c>
      <c r="E72" s="17">
        <f>C72/3250</f>
        <v>1.0810974117790733</v>
      </c>
      <c r="F72" s="28">
        <f>(D72-C72)/E72</f>
        <v>97.500000000000114</v>
      </c>
      <c r="G72" s="80"/>
      <c r="H72" s="80"/>
      <c r="I72" s="19">
        <f>E72*50/C72</f>
        <v>1.5384615384615384E-2</v>
      </c>
      <c r="J72" s="85"/>
    </row>
    <row r="73" spans="1:11" ht="13" thickBot="1">
      <c r="A73" s="78"/>
      <c r="B73" s="13"/>
      <c r="C73" s="22"/>
      <c r="D73" s="23"/>
      <c r="E73" s="23"/>
      <c r="F73" s="27"/>
      <c r="G73" s="23"/>
      <c r="H73" s="10"/>
      <c r="I73" s="24"/>
      <c r="J73" s="86"/>
    </row>
    <row r="74" spans="1:11">
      <c r="A74" s="103">
        <v>15</v>
      </c>
      <c r="B74" s="81">
        <f>B72+7</f>
        <v>43506</v>
      </c>
      <c r="C74" s="20">
        <f>D72+G72-H72</f>
        <v>3618.9735859304478</v>
      </c>
      <c r="D74" s="17">
        <f>C74+(C74*0.03)</f>
        <v>3727.5427935083612</v>
      </c>
      <c r="E74" s="17">
        <f>C74/3250</f>
        <v>1.1135303341324454</v>
      </c>
      <c r="F74" s="28">
        <f>(D74-C74)/E74</f>
        <v>97.499999999999986</v>
      </c>
      <c r="G74" s="18"/>
      <c r="H74" s="18"/>
      <c r="I74" s="19">
        <f>E74*50/C74</f>
        <v>1.5384615384615384E-2</v>
      </c>
      <c r="J74" s="85"/>
    </row>
    <row r="75" spans="1:11">
      <c r="A75" s="104"/>
      <c r="B75" s="81">
        <f>B74+7</f>
        <v>43513</v>
      </c>
      <c r="C75" s="20">
        <f>D74+G74-H74</f>
        <v>3727.5427935083612</v>
      </c>
      <c r="D75" s="17">
        <f>C75+(C75*0.03)</f>
        <v>3839.3690773136123</v>
      </c>
      <c r="E75" s="17">
        <f>C75/3250</f>
        <v>1.1469362441564188</v>
      </c>
      <c r="F75" s="28">
        <f>(D75-C75)/E75</f>
        <v>97.500000000000171</v>
      </c>
      <c r="G75" s="18"/>
      <c r="H75" s="18"/>
      <c r="I75" s="19">
        <f>E75*50/C75</f>
        <v>1.5384615384615384E-2</v>
      </c>
      <c r="J75" s="85"/>
    </row>
    <row r="76" spans="1:11">
      <c r="A76" s="104"/>
      <c r="B76" s="81">
        <f>B75+7</f>
        <v>43520</v>
      </c>
      <c r="C76" s="20">
        <f>D75+G75-H75</f>
        <v>3839.3690773136123</v>
      </c>
      <c r="D76" s="17">
        <f>C76+(C76*0.03)</f>
        <v>3954.5501496330207</v>
      </c>
      <c r="E76" s="17">
        <f>C76/3250</f>
        <v>1.1813443314811114</v>
      </c>
      <c r="F76" s="28">
        <f>(D76-C76)/E76</f>
        <v>97.500000000000099</v>
      </c>
      <c r="G76" s="18"/>
      <c r="H76" s="18"/>
      <c r="I76" s="19">
        <f>E76*50/C76</f>
        <v>1.5384615384615384E-2</v>
      </c>
      <c r="J76" s="85"/>
    </row>
    <row r="77" spans="1:11" ht="13.5" thickBot="1">
      <c r="A77" s="105"/>
      <c r="B77" s="81">
        <f>B76+7</f>
        <v>43527</v>
      </c>
      <c r="C77" s="20">
        <f>D76+G76-H76</f>
        <v>3954.5501496330207</v>
      </c>
      <c r="D77" s="17">
        <f>C77+(C77*0.03)</f>
        <v>4073.1866541220115</v>
      </c>
      <c r="E77" s="17">
        <f>C77/3250</f>
        <v>1.2167846614255449</v>
      </c>
      <c r="F77" s="28">
        <f>(D77-C77)/E77</f>
        <v>97.500000000000142</v>
      </c>
      <c r="G77" s="80"/>
      <c r="H77" s="80">
        <f>(D77-C64)*0.35</f>
        <v>425.71742032760449</v>
      </c>
      <c r="I77" s="19">
        <f>E77*50/C77</f>
        <v>1.5384615384615384E-2</v>
      </c>
      <c r="J77" s="85"/>
      <c r="K77" s="102" t="s">
        <v>49</v>
      </c>
    </row>
    <row r="78" spans="1:11" ht="13" thickBot="1">
      <c r="A78" s="78"/>
      <c r="B78" s="13"/>
      <c r="C78" s="22"/>
      <c r="D78" s="23"/>
      <c r="E78" s="23"/>
      <c r="F78" s="27"/>
      <c r="G78" s="23"/>
      <c r="H78" s="10"/>
      <c r="I78" s="24"/>
      <c r="J78" s="86"/>
    </row>
    <row r="79" spans="1:11">
      <c r="A79" s="103">
        <v>16</v>
      </c>
      <c r="B79" s="81">
        <f>B77+7</f>
        <v>43534</v>
      </c>
      <c r="C79" s="20">
        <f>D77+G77-H77</f>
        <v>3647.469233794407</v>
      </c>
      <c r="D79" s="17">
        <f>C79+(C79*0.03)</f>
        <v>3756.8933108082392</v>
      </c>
      <c r="E79" s="17">
        <f>C79/3250</f>
        <v>1.1222982257828944</v>
      </c>
      <c r="F79" s="28">
        <f>(D79-C79)/E79</f>
        <v>97.499999999999972</v>
      </c>
      <c r="G79" s="18"/>
      <c r="H79" s="18"/>
      <c r="I79" s="19">
        <f>E79*50/C79</f>
        <v>1.5384615384615384E-2</v>
      </c>
      <c r="J79" s="85"/>
    </row>
    <row r="80" spans="1:11">
      <c r="A80" s="104"/>
      <c r="B80" s="81">
        <f>B79+7</f>
        <v>43541</v>
      </c>
      <c r="C80" s="20">
        <f>D79+G79-H79</f>
        <v>3756.8933108082392</v>
      </c>
      <c r="D80" s="17">
        <f>C80+(C80*0.03)</f>
        <v>3869.6001101324864</v>
      </c>
      <c r="E80" s="17">
        <f>C80/3250</f>
        <v>1.1559671725563814</v>
      </c>
      <c r="F80" s="28">
        <f>(D80-C80)/E80</f>
        <v>97.5</v>
      </c>
      <c r="G80" s="18"/>
      <c r="H80" s="18"/>
      <c r="I80" s="19">
        <f>E80*50/C80</f>
        <v>1.5384615384615385E-2</v>
      </c>
      <c r="J80" s="85"/>
    </row>
    <row r="81" spans="1:11">
      <c r="A81" s="104"/>
      <c r="B81" s="81">
        <f>B80+7</f>
        <v>43548</v>
      </c>
      <c r="C81" s="20">
        <f>D80+G80-H80</f>
        <v>3869.6001101324864</v>
      </c>
      <c r="D81" s="17">
        <f>C81+(C81*0.03)</f>
        <v>3985.6881134364612</v>
      </c>
      <c r="E81" s="17">
        <f>C81/3250</f>
        <v>1.1906461877330727</v>
      </c>
      <c r="F81" s="28">
        <f>(D81-C81)/E81</f>
        <v>97.500000000000171</v>
      </c>
      <c r="G81" s="18"/>
      <c r="H81" s="18"/>
      <c r="I81" s="19">
        <f>E81*50/C81</f>
        <v>1.5384615384615384E-2</v>
      </c>
      <c r="J81" s="85"/>
    </row>
    <row r="82" spans="1:11" ht="13" thickBot="1">
      <c r="A82" s="105"/>
      <c r="B82" s="81">
        <f>B81+7</f>
        <v>43555</v>
      </c>
      <c r="C82" s="20">
        <f>D81+G81-H81</f>
        <v>3985.6881134364612</v>
      </c>
      <c r="D82" s="17">
        <f>C82+(C82*0.03)</f>
        <v>4105.2587568395547</v>
      </c>
      <c r="E82" s="17">
        <f>C82/3250</f>
        <v>1.2263655733650649</v>
      </c>
      <c r="F82" s="28">
        <f>(D82-C82)/E82</f>
        <v>97.499999999999758</v>
      </c>
      <c r="G82" s="80"/>
      <c r="H82" s="80"/>
      <c r="I82" s="19">
        <f>E82*50/C82</f>
        <v>1.5384615384615382E-2</v>
      </c>
      <c r="J82" s="85"/>
    </row>
    <row r="83" spans="1:11" ht="13" thickBot="1">
      <c r="A83" s="78"/>
      <c r="B83" s="13"/>
      <c r="C83" s="22"/>
      <c r="D83" s="23"/>
      <c r="E83" s="23"/>
      <c r="F83" s="27"/>
      <c r="G83" s="23"/>
      <c r="H83" s="10"/>
      <c r="I83" s="24"/>
      <c r="J83" s="86"/>
    </row>
    <row r="84" spans="1:11">
      <c r="A84" s="103">
        <v>17</v>
      </c>
      <c r="B84" s="81">
        <f>B82+7</f>
        <v>43562</v>
      </c>
      <c r="C84" s="20">
        <f>D82+G82-H82</f>
        <v>4105.2587568395547</v>
      </c>
      <c r="D84" s="17">
        <f>C84+(C84*0.03)</f>
        <v>4228.4165195447413</v>
      </c>
      <c r="E84" s="17">
        <f>C84/3250</f>
        <v>1.2631565405660168</v>
      </c>
      <c r="F84" s="28">
        <f>(D84-C84)/E84</f>
        <v>97.499999999999929</v>
      </c>
      <c r="G84" s="18"/>
      <c r="H84" s="18"/>
      <c r="I84" s="19">
        <f>E84*50/C84</f>
        <v>1.5384615384615384E-2</v>
      </c>
      <c r="J84" s="85"/>
    </row>
    <row r="85" spans="1:11">
      <c r="A85" s="104"/>
      <c r="B85" s="81">
        <f>B84+7</f>
        <v>43569</v>
      </c>
      <c r="C85" s="20">
        <f>D84+G84-H84</f>
        <v>4228.4165195447413</v>
      </c>
      <c r="D85" s="17">
        <f>C85+(C85*0.03)</f>
        <v>4355.2690151310835</v>
      </c>
      <c r="E85" s="17">
        <f>C85/3250</f>
        <v>1.3010512367829974</v>
      </c>
      <c r="F85" s="28">
        <f>(D85-C85)/E85</f>
        <v>97.499999999999986</v>
      </c>
      <c r="G85" s="18"/>
      <c r="H85" s="18"/>
      <c r="I85" s="19">
        <f>E85*50/C85</f>
        <v>1.5384615384615387E-2</v>
      </c>
      <c r="J85" s="85"/>
    </row>
    <row r="86" spans="1:11">
      <c r="A86" s="104"/>
      <c r="B86" s="81">
        <f>B85+7</f>
        <v>43576</v>
      </c>
      <c r="C86" s="20">
        <f>D85+G85-H85</f>
        <v>4355.2690151310835</v>
      </c>
      <c r="D86" s="17">
        <f>C86+(C86*0.03)</f>
        <v>4485.9270855850164</v>
      </c>
      <c r="E86" s="17">
        <f>C86/3250</f>
        <v>1.3400827738864873</v>
      </c>
      <c r="F86" s="28">
        <f>(D86-C86)/E86</f>
        <v>97.500000000000256</v>
      </c>
      <c r="G86" s="18"/>
      <c r="H86" s="18"/>
      <c r="I86" s="19">
        <f>E86*50/C86</f>
        <v>1.5384615384615385E-2</v>
      </c>
      <c r="J86" s="85"/>
    </row>
    <row r="87" spans="1:11" ht="13" thickBot="1">
      <c r="A87" s="105"/>
      <c r="B87" s="81">
        <f>B86+7</f>
        <v>43583</v>
      </c>
      <c r="C87" s="20">
        <f>D86+G86-H86</f>
        <v>4485.9270855850164</v>
      </c>
      <c r="D87" s="17">
        <f>C87+(C87*0.03)</f>
        <v>4620.504898152567</v>
      </c>
      <c r="E87" s="17">
        <f>C87/3250</f>
        <v>1.3802852571030819</v>
      </c>
      <c r="F87" s="28">
        <f>(D87-C87)/E87</f>
        <v>97.500000000000085</v>
      </c>
      <c r="G87" s="80"/>
      <c r="H87" s="80"/>
      <c r="I87" s="19">
        <f>E87*50/C87</f>
        <v>1.5384615384615385E-2</v>
      </c>
      <c r="J87" s="85"/>
    </row>
    <row r="88" spans="1:11" ht="13" thickBot="1">
      <c r="A88" s="78"/>
      <c r="B88" s="13"/>
      <c r="C88" s="22"/>
      <c r="D88" s="23"/>
      <c r="E88" s="23"/>
      <c r="F88" s="27"/>
      <c r="G88" s="23"/>
      <c r="H88" s="10"/>
      <c r="I88" s="24"/>
      <c r="J88" s="86"/>
    </row>
    <row r="89" spans="1:11">
      <c r="A89" s="103">
        <v>18</v>
      </c>
      <c r="B89" s="81">
        <f>B87+7</f>
        <v>43590</v>
      </c>
      <c r="C89" s="20">
        <f>D87+G87-H87</f>
        <v>4620.504898152567</v>
      </c>
      <c r="D89" s="17">
        <f>C89+(C89*0.03)</f>
        <v>4759.1200450971437</v>
      </c>
      <c r="E89" s="17">
        <f>C89/3250</f>
        <v>1.4216938148161744</v>
      </c>
      <c r="F89" s="28">
        <f>(D89-C89)/E89</f>
        <v>97.499999999999815</v>
      </c>
      <c r="G89" s="18"/>
      <c r="H89" s="18"/>
      <c r="I89" s="19">
        <f>E89*50/C89</f>
        <v>1.5384615384615385E-2</v>
      </c>
      <c r="J89" s="85"/>
    </row>
    <row r="90" spans="1:11">
      <c r="A90" s="104"/>
      <c r="B90" s="81">
        <f>B89+7</f>
        <v>43597</v>
      </c>
      <c r="C90" s="20">
        <f>D89+G89-H89</f>
        <v>4759.1200450971437</v>
      </c>
      <c r="D90" s="17">
        <f>C90+(C90*0.03)</f>
        <v>4901.8936464500584</v>
      </c>
      <c r="E90" s="17">
        <f>C90/3250</f>
        <v>1.4643446292606597</v>
      </c>
      <c r="F90" s="28">
        <f>(D90-C90)/E90</f>
        <v>97.500000000000284</v>
      </c>
      <c r="G90" s="18"/>
      <c r="H90" s="18"/>
      <c r="I90" s="19">
        <f>E90*50/C90</f>
        <v>1.5384615384615385E-2</v>
      </c>
      <c r="J90" s="85"/>
    </row>
    <row r="91" spans="1:11">
      <c r="A91" s="104"/>
      <c r="B91" s="81">
        <f>B90+7</f>
        <v>43604</v>
      </c>
      <c r="C91" s="20">
        <f>D90+G90-H90</f>
        <v>4901.8936464500584</v>
      </c>
      <c r="D91" s="17">
        <f>C91+(C91*0.03)</f>
        <v>5048.9504558435601</v>
      </c>
      <c r="E91" s="17">
        <f>C91/3250</f>
        <v>1.5082749681384795</v>
      </c>
      <c r="F91" s="28">
        <f>(D91-C91)/E91</f>
        <v>97.499999999999957</v>
      </c>
      <c r="G91" s="18"/>
      <c r="H91" s="18"/>
      <c r="I91" s="19">
        <f>E91*50/C91</f>
        <v>1.5384615384615384E-2</v>
      </c>
      <c r="J91" s="85"/>
    </row>
    <row r="92" spans="1:11" ht="13.5" thickBot="1">
      <c r="A92" s="105"/>
      <c r="B92" s="81">
        <f>B91+7</f>
        <v>43611</v>
      </c>
      <c r="C92" s="20">
        <f>D91+G91-H91</f>
        <v>5048.9504558435601</v>
      </c>
      <c r="D92" s="17">
        <f>C92+(C92*0.03)</f>
        <v>5200.418969518867</v>
      </c>
      <c r="E92" s="17">
        <f>C92/3250</f>
        <v>1.5535232171826339</v>
      </c>
      <c r="F92" s="28">
        <f>(D92-C92)/E92</f>
        <v>97.500000000000057</v>
      </c>
      <c r="G92" s="80"/>
      <c r="H92" s="80">
        <f>(D92-C79)*0.35</f>
        <v>543.53240750356099</v>
      </c>
      <c r="I92" s="19">
        <f>E92*50/C92</f>
        <v>1.5384615384615385E-2</v>
      </c>
      <c r="J92" s="85"/>
      <c r="K92" s="102" t="s">
        <v>49</v>
      </c>
    </row>
    <row r="93" spans="1:11" ht="13" thickBot="1">
      <c r="A93" s="78"/>
      <c r="B93" s="13"/>
      <c r="C93" s="22"/>
      <c r="D93" s="23"/>
      <c r="E93" s="23"/>
      <c r="F93" s="27"/>
      <c r="G93" s="23"/>
      <c r="H93" s="10"/>
      <c r="I93" s="24"/>
      <c r="J93" s="86"/>
    </row>
    <row r="94" spans="1:11">
      <c r="A94" s="103">
        <v>19</v>
      </c>
      <c r="B94" s="81">
        <f>B92+7</f>
        <v>43618</v>
      </c>
      <c r="C94" s="20">
        <f>D92+G92-H92</f>
        <v>4656.8865620153065</v>
      </c>
      <c r="D94" s="17">
        <f>C94+(C94*0.03)</f>
        <v>4796.5931588757658</v>
      </c>
      <c r="E94" s="17">
        <f>C94/3250</f>
        <v>1.4328881729277867</v>
      </c>
      <c r="F94" s="28">
        <f>(D94-C94)/E94</f>
        <v>97.500000000000057</v>
      </c>
      <c r="G94" s="17"/>
      <c r="H94" s="18"/>
      <c r="I94" s="19">
        <f>E94*50/C94</f>
        <v>1.5384615384615385E-2</v>
      </c>
      <c r="J94" s="85"/>
    </row>
    <row r="95" spans="1:11">
      <c r="A95" s="104"/>
      <c r="B95" s="81">
        <f>B94+7</f>
        <v>43625</v>
      </c>
      <c r="C95" s="20">
        <f>D94+G94-H94</f>
        <v>4796.5931588757658</v>
      </c>
      <c r="D95" s="17">
        <f>C95+(C95*0.03)</f>
        <v>4940.4909536420391</v>
      </c>
      <c r="E95" s="17">
        <f>C95/3250</f>
        <v>1.4758748181156203</v>
      </c>
      <c r="F95" s="28">
        <f>(D95-C95)/E95</f>
        <v>97.500000000000256</v>
      </c>
      <c r="G95" s="17"/>
      <c r="H95" s="18"/>
      <c r="I95" s="19">
        <f>E95*50/C95</f>
        <v>1.5384615384615384E-2</v>
      </c>
      <c r="J95" s="85"/>
    </row>
    <row r="96" spans="1:11">
      <c r="A96" s="104"/>
      <c r="B96" s="81">
        <f>B95+7</f>
        <v>43632</v>
      </c>
      <c r="C96" s="20">
        <f>D95+G95-H95</f>
        <v>4940.4909536420391</v>
      </c>
      <c r="D96" s="17">
        <f>C96+(C96*0.03)</f>
        <v>5088.7056822513005</v>
      </c>
      <c r="E96" s="17">
        <f>C96/3250</f>
        <v>1.5201510626590891</v>
      </c>
      <c r="F96" s="28">
        <f>(D96-C96)/E96</f>
        <v>97.500000000000099</v>
      </c>
      <c r="G96" s="17"/>
      <c r="H96" s="18"/>
      <c r="I96" s="19">
        <f>E96*50/C96</f>
        <v>1.5384615384615385E-2</v>
      </c>
      <c r="J96" s="85"/>
    </row>
    <row r="97" spans="1:11" ht="13" thickBot="1">
      <c r="A97" s="105"/>
      <c r="B97" s="81">
        <f>B96+7</f>
        <v>43639</v>
      </c>
      <c r="C97" s="20">
        <f>D96+G96-H96</f>
        <v>5088.7056822513005</v>
      </c>
      <c r="D97" s="17">
        <f>C97+(C97*0.03)</f>
        <v>5241.3668527188393</v>
      </c>
      <c r="E97" s="17">
        <f>C97/3250</f>
        <v>1.5657555945388617</v>
      </c>
      <c r="F97" s="28">
        <f>(D97-C97)/E97</f>
        <v>97.499999999999858</v>
      </c>
      <c r="G97" s="80"/>
      <c r="H97" s="80"/>
      <c r="I97" s="19">
        <f>E97*50/C97</f>
        <v>1.5384615384615385E-2</v>
      </c>
      <c r="J97" s="85"/>
    </row>
    <row r="98" spans="1:11" ht="13" thickBot="1">
      <c r="A98" s="78"/>
      <c r="B98" s="13"/>
      <c r="C98" s="22"/>
      <c r="D98" s="23"/>
      <c r="E98" s="23"/>
      <c r="F98" s="27"/>
      <c r="G98" s="23"/>
      <c r="H98" s="10"/>
      <c r="I98" s="24"/>
      <c r="J98" s="86"/>
    </row>
    <row r="99" spans="1:11">
      <c r="A99" s="103">
        <v>20</v>
      </c>
      <c r="B99" s="81">
        <f>B97+7</f>
        <v>43646</v>
      </c>
      <c r="C99" s="20">
        <f>D97+G97-H97</f>
        <v>5241.3668527188393</v>
      </c>
      <c r="D99" s="17">
        <f>C99+(C99*0.03)</f>
        <v>5398.6078583004046</v>
      </c>
      <c r="E99" s="17">
        <f>C99/3250</f>
        <v>1.6127282623750274</v>
      </c>
      <c r="F99" s="28">
        <f>(D99-C99)/E99</f>
        <v>97.500000000000099</v>
      </c>
      <c r="G99" s="18"/>
      <c r="H99" s="18"/>
      <c r="I99" s="19">
        <f>E99*50/C99</f>
        <v>1.5384615384615385E-2</v>
      </c>
      <c r="J99" s="85"/>
    </row>
    <row r="100" spans="1:11">
      <c r="A100" s="104"/>
      <c r="B100" s="81">
        <f>B99+7</f>
        <v>43653</v>
      </c>
      <c r="C100" s="20">
        <f>D99+G99-H99</f>
        <v>5398.6078583004046</v>
      </c>
      <c r="D100" s="17">
        <f>C100+(C100*0.03)</f>
        <v>5560.5660940494163</v>
      </c>
      <c r="E100" s="17">
        <f>C100/3250</f>
        <v>1.6611101102462784</v>
      </c>
      <c r="F100" s="28">
        <f>(D100-C100)/E100</f>
        <v>97.49999999999973</v>
      </c>
      <c r="G100" s="18"/>
      <c r="H100" s="18"/>
      <c r="I100" s="19">
        <f>E100*50/C100</f>
        <v>1.5384615384615384E-2</v>
      </c>
      <c r="J100" s="85"/>
    </row>
    <row r="101" spans="1:11">
      <c r="A101" s="104"/>
      <c r="B101" s="81">
        <f>B100+7</f>
        <v>43660</v>
      </c>
      <c r="C101" s="20">
        <f>D100+G100-H100</f>
        <v>5560.5660940494163</v>
      </c>
      <c r="D101" s="17">
        <f>C101+(C101*0.03)</f>
        <v>5727.3830768708985</v>
      </c>
      <c r="E101" s="17">
        <f>C101/3250</f>
        <v>1.7109434135536665</v>
      </c>
      <c r="F101" s="28">
        <f>(D101-C101)/E101</f>
        <v>97.499999999999872</v>
      </c>
      <c r="G101" s="18"/>
      <c r="H101" s="18"/>
      <c r="I101" s="19">
        <f>E101*50/C101</f>
        <v>1.5384615384615384E-2</v>
      </c>
      <c r="J101" s="85"/>
    </row>
    <row r="102" spans="1:11" ht="13" thickBot="1">
      <c r="A102" s="105"/>
      <c r="B102" s="81">
        <f>B101+7</f>
        <v>43667</v>
      </c>
      <c r="C102" s="20">
        <f>D101+G101-H101</f>
        <v>5727.3830768708985</v>
      </c>
      <c r="D102" s="17">
        <f>C102+(C102*0.03)</f>
        <v>5899.2045691770254</v>
      </c>
      <c r="E102" s="17">
        <f>C102/3250</f>
        <v>1.7622717159602765</v>
      </c>
      <c r="F102" s="28">
        <f>(D102-C102)/E102</f>
        <v>97.499999999999943</v>
      </c>
      <c r="G102" s="80"/>
      <c r="H102" s="80"/>
      <c r="I102" s="19">
        <f>E102*50/C102</f>
        <v>1.5384615384615385E-2</v>
      </c>
      <c r="J102" s="85"/>
    </row>
    <row r="103" spans="1:11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6"/>
    </row>
    <row r="104" spans="1:11">
      <c r="A104" s="103">
        <v>21</v>
      </c>
      <c r="B104" s="81">
        <f>B102+7</f>
        <v>43674</v>
      </c>
      <c r="C104" s="20">
        <f>D102+G102-H102</f>
        <v>5899.2045691770254</v>
      </c>
      <c r="D104" s="17">
        <f>C104+(C104*0.03)</f>
        <v>6076.1807062523358</v>
      </c>
      <c r="E104" s="17">
        <f>C104/3250</f>
        <v>1.8151398674390848</v>
      </c>
      <c r="F104" s="28">
        <f>(D104-C104)/E104</f>
        <v>97.499999999999773</v>
      </c>
      <c r="G104" s="18"/>
      <c r="H104" s="18"/>
      <c r="I104" s="19">
        <f>E104*50/C104</f>
        <v>1.5384615384615385E-2</v>
      </c>
      <c r="J104" s="85"/>
    </row>
    <row r="105" spans="1:11">
      <c r="A105" s="104"/>
      <c r="B105" s="81">
        <f>B104+7</f>
        <v>43681</v>
      </c>
      <c r="C105" s="20">
        <f>D104+G104-H104</f>
        <v>6076.1807062523358</v>
      </c>
      <c r="D105" s="17">
        <f>C105+(C105*0.03)</f>
        <v>6258.4661274399059</v>
      </c>
      <c r="E105" s="17">
        <f>C105/3250</f>
        <v>1.8695940634622572</v>
      </c>
      <c r="F105" s="28">
        <f>(D105-C105)/E105</f>
        <v>97.500000000000028</v>
      </c>
      <c r="G105" s="18"/>
      <c r="H105" s="18"/>
      <c r="I105" s="19">
        <f>E105*50/C105</f>
        <v>1.5384615384615385E-2</v>
      </c>
      <c r="J105" s="85"/>
    </row>
    <row r="106" spans="1:11">
      <c r="A106" s="104"/>
      <c r="B106" s="81">
        <f>B105+7</f>
        <v>43688</v>
      </c>
      <c r="C106" s="20">
        <f>D105+G105-H105</f>
        <v>6258.4661274399059</v>
      </c>
      <c r="D106" s="17">
        <f>C106+(C106*0.03)</f>
        <v>6446.2201112631028</v>
      </c>
      <c r="E106" s="17">
        <f>C106/3250</f>
        <v>1.9256818853661248</v>
      </c>
      <c r="F106" s="28">
        <f>(D106-C106)/E106</f>
        <v>97.499999999999858</v>
      </c>
      <c r="G106" s="18"/>
      <c r="H106" s="18"/>
      <c r="I106" s="19">
        <f>E106*50/C106</f>
        <v>1.5384615384615385E-2</v>
      </c>
      <c r="J106" s="85"/>
    </row>
    <row r="107" spans="1:11" ht="13.5" thickBot="1">
      <c r="A107" s="105"/>
      <c r="B107" s="81">
        <f>B106+7</f>
        <v>43695</v>
      </c>
      <c r="C107" s="20">
        <f>D106+G106-H106</f>
        <v>6446.2201112631028</v>
      </c>
      <c r="D107" s="17">
        <f>C107+(C107*0.03)</f>
        <v>6639.6067146009955</v>
      </c>
      <c r="E107" s="17">
        <f>C107/3250</f>
        <v>1.9834523419271086</v>
      </c>
      <c r="F107" s="28">
        <f>(D107-C107)/E107</f>
        <v>97.499999999999787</v>
      </c>
      <c r="G107" s="80"/>
      <c r="H107" s="80">
        <f>(D107-C94)*0.35</f>
        <v>693.95205340499115</v>
      </c>
      <c r="I107" s="19">
        <f>E107*50/C107</f>
        <v>1.5384615384615384E-2</v>
      </c>
      <c r="J107" s="85"/>
      <c r="K107" s="102" t="s">
        <v>49</v>
      </c>
    </row>
    <row r="108" spans="1:11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6"/>
    </row>
    <row r="109" spans="1:11">
      <c r="A109" s="103">
        <v>22</v>
      </c>
      <c r="B109" s="81">
        <f>B107+7</f>
        <v>43702</v>
      </c>
      <c r="C109" s="20">
        <f>D107+G107-H107</f>
        <v>5945.6546611960039</v>
      </c>
      <c r="D109" s="17">
        <f>C109+(C109*0.03)</f>
        <v>6124.0243010318836</v>
      </c>
      <c r="E109" s="17">
        <f>C109/3250</f>
        <v>1.8294322034449242</v>
      </c>
      <c r="F109" s="28">
        <f>(D109-C109)/E109</f>
        <v>97.499999999999801</v>
      </c>
      <c r="G109" s="18"/>
      <c r="H109" s="18"/>
      <c r="I109" s="19">
        <f>E109*50/C109</f>
        <v>1.5384615384615385E-2</v>
      </c>
      <c r="J109" s="85"/>
    </row>
    <row r="110" spans="1:11">
      <c r="A110" s="104"/>
      <c r="B110" s="81">
        <f>B109+7</f>
        <v>43709</v>
      </c>
      <c r="C110" s="20">
        <f>D109+G109-H109</f>
        <v>6124.0243010318836</v>
      </c>
      <c r="D110" s="17">
        <f>C110+(C110*0.03)</f>
        <v>6307.7450300628398</v>
      </c>
      <c r="E110" s="17">
        <f>C110/3250</f>
        <v>1.8843151695482718</v>
      </c>
      <c r="F110" s="28">
        <f>(D110-C110)/E110</f>
        <v>97.499999999999801</v>
      </c>
      <c r="G110" s="18"/>
      <c r="H110" s="18"/>
      <c r="I110" s="19">
        <f>E110*50/C110</f>
        <v>1.5384615384615384E-2</v>
      </c>
      <c r="J110" s="85"/>
    </row>
    <row r="111" spans="1:11">
      <c r="A111" s="104"/>
      <c r="B111" s="81">
        <f>B110+7</f>
        <v>43716</v>
      </c>
      <c r="C111" s="20">
        <f>D110+G110-H110</f>
        <v>6307.7450300628398</v>
      </c>
      <c r="D111" s="17">
        <f>C111+(C111*0.03)</f>
        <v>6496.9773809647249</v>
      </c>
      <c r="E111" s="17">
        <f>C111/3250</f>
        <v>1.94084462463472</v>
      </c>
      <c r="F111" s="28">
        <f>(D111-C111)/E111</f>
        <v>97.5</v>
      </c>
      <c r="G111" s="18"/>
      <c r="H111" s="18"/>
      <c r="I111" s="19">
        <f>E111*50/C111</f>
        <v>1.5384615384615385E-2</v>
      </c>
      <c r="J111" s="85"/>
    </row>
    <row r="112" spans="1:11" ht="13" thickBot="1">
      <c r="A112" s="105"/>
      <c r="B112" s="81">
        <f>B111+7</f>
        <v>43723</v>
      </c>
      <c r="C112" s="20">
        <f>D111+G111-H111</f>
        <v>6496.9773809647249</v>
      </c>
      <c r="D112" s="17">
        <f>C112+(C112*0.03)</f>
        <v>6691.8867023936664</v>
      </c>
      <c r="E112" s="17">
        <f>C112/3250</f>
        <v>1.9990699633737614</v>
      </c>
      <c r="F112" s="28">
        <f>(D112-C112)/E112</f>
        <v>97.499999999999844</v>
      </c>
      <c r="G112" s="80"/>
      <c r="H112" s="80"/>
      <c r="I112" s="19">
        <f>E112*50/C112</f>
        <v>1.5384615384615384E-2</v>
      </c>
      <c r="J112" s="85"/>
    </row>
    <row r="113" spans="1:11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6"/>
    </row>
    <row r="114" spans="1:11">
      <c r="A114" s="103">
        <v>23</v>
      </c>
      <c r="B114" s="81">
        <f>B112+7</f>
        <v>43730</v>
      </c>
      <c r="C114" s="20">
        <f>D112+G112-H112</f>
        <v>6691.8867023936664</v>
      </c>
      <c r="D114" s="17">
        <f>C114+(C114*0.03)</f>
        <v>6892.6433034654765</v>
      </c>
      <c r="E114" s="17">
        <f>C114/3250</f>
        <v>2.0590420622749743</v>
      </c>
      <c r="F114" s="28">
        <f>(D114-C114)/E114</f>
        <v>97.500000000000057</v>
      </c>
      <c r="G114" s="18"/>
      <c r="H114" s="18"/>
      <c r="I114" s="19">
        <f>E114*50/C114</f>
        <v>1.5384615384615385E-2</v>
      </c>
      <c r="J114" s="85"/>
    </row>
    <row r="115" spans="1:11">
      <c r="A115" s="104"/>
      <c r="B115" s="81">
        <f>B114+7</f>
        <v>43737</v>
      </c>
      <c r="C115" s="20">
        <f>D114+G114-H114</f>
        <v>6892.6433034654765</v>
      </c>
      <c r="D115" s="17">
        <f>C115+(C115*0.03)</f>
        <v>7099.4226025694406</v>
      </c>
      <c r="E115" s="17">
        <f>C115/3250</f>
        <v>2.1208133241432234</v>
      </c>
      <c r="F115" s="28">
        <f>(D115-C115)/E115</f>
        <v>97.499999999999943</v>
      </c>
      <c r="G115" s="18"/>
      <c r="H115" s="18"/>
      <c r="I115" s="19">
        <f>E115*50/C115</f>
        <v>1.5384615384615384E-2</v>
      </c>
      <c r="J115" s="85"/>
    </row>
    <row r="116" spans="1:11">
      <c r="A116" s="104"/>
      <c r="B116" s="81">
        <f>B115+7</f>
        <v>43744</v>
      </c>
      <c r="C116" s="20">
        <f>D115+G115-H115</f>
        <v>7099.4226025694406</v>
      </c>
      <c r="D116" s="17">
        <f>C116+(C116*0.03)</f>
        <v>7312.4052806465243</v>
      </c>
      <c r="E116" s="17">
        <f>C116/3250</f>
        <v>2.1844377238675201</v>
      </c>
      <c r="F116" s="28">
        <f>(D116-C116)/E116</f>
        <v>97.500000000000185</v>
      </c>
      <c r="G116" s="18"/>
      <c r="H116" s="18"/>
      <c r="I116" s="19">
        <f>E116*50/C116</f>
        <v>1.5384615384615384E-2</v>
      </c>
      <c r="J116" s="85"/>
    </row>
    <row r="117" spans="1:11" ht="13" thickBot="1">
      <c r="A117" s="105"/>
      <c r="B117" s="81">
        <f>B116+7</f>
        <v>43751</v>
      </c>
      <c r="C117" s="20">
        <f>D116+G116-H116</f>
        <v>7312.4052806465243</v>
      </c>
      <c r="D117" s="17">
        <f>C117+(C117*0.03)</f>
        <v>7531.7774390659197</v>
      </c>
      <c r="E117" s="17">
        <f>C117/3250</f>
        <v>2.249970855583546</v>
      </c>
      <c r="F117" s="28">
        <f>(D117-C117)/E117</f>
        <v>97.499999999999858</v>
      </c>
      <c r="G117" s="80"/>
      <c r="H117" s="80"/>
      <c r="I117" s="19">
        <f>E117*50/C117</f>
        <v>1.5384615384615385E-2</v>
      </c>
      <c r="J117" s="85"/>
    </row>
    <row r="118" spans="1:11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6"/>
    </row>
    <row r="119" spans="1:11">
      <c r="A119" s="103">
        <v>24</v>
      </c>
      <c r="B119" s="81">
        <f>B117+7</f>
        <v>43758</v>
      </c>
      <c r="C119" s="20">
        <f>D117+G117-H117</f>
        <v>7531.7774390659197</v>
      </c>
      <c r="D119" s="17">
        <f>C119+(C119*0.03)</f>
        <v>7757.7307622378976</v>
      </c>
      <c r="E119" s="17">
        <f>C119/3250</f>
        <v>2.3174699812510524</v>
      </c>
      <c r="F119" s="28">
        <f>(D119-C119)/E119</f>
        <v>97.500000000000128</v>
      </c>
      <c r="G119" s="18"/>
      <c r="H119" s="18"/>
      <c r="I119" s="19">
        <f>E119*50/C119</f>
        <v>1.5384615384615387E-2</v>
      </c>
      <c r="J119" s="85"/>
    </row>
    <row r="120" spans="1:11">
      <c r="A120" s="104"/>
      <c r="B120" s="81">
        <f>B119+7</f>
        <v>43765</v>
      </c>
      <c r="C120" s="20">
        <f>D119+G119-H119</f>
        <v>7757.7307622378976</v>
      </c>
      <c r="D120" s="17">
        <f>C120+(C120*0.03)</f>
        <v>7990.4626851050343</v>
      </c>
      <c r="E120" s="17">
        <f>C120/3250</f>
        <v>2.3869940806885839</v>
      </c>
      <c r="F120" s="28">
        <f>(D120-C120)/E120</f>
        <v>97.499999999999929</v>
      </c>
      <c r="G120" s="18"/>
      <c r="H120" s="18"/>
      <c r="I120" s="19">
        <f>E120*50/C120</f>
        <v>1.5384615384615385E-2</v>
      </c>
      <c r="J120" s="85"/>
    </row>
    <row r="121" spans="1:11">
      <c r="A121" s="104"/>
      <c r="B121" s="81">
        <f>B120+7</f>
        <v>43772</v>
      </c>
      <c r="C121" s="20">
        <f>D120+G120-H120</f>
        <v>7990.4626851050343</v>
      </c>
      <c r="D121" s="17">
        <f>C121+(C121*0.03)</f>
        <v>8230.1765656581847</v>
      </c>
      <c r="E121" s="17">
        <f>C121/3250</f>
        <v>2.4586039031092413</v>
      </c>
      <c r="F121" s="28">
        <f>(D121-C121)/E121</f>
        <v>97.49999999999973</v>
      </c>
      <c r="G121" s="18"/>
      <c r="H121" s="18"/>
      <c r="I121" s="19">
        <f>E121*50/C121</f>
        <v>1.5384615384615384E-2</v>
      </c>
      <c r="J121" s="85"/>
    </row>
    <row r="122" spans="1:11" ht="13.5" thickBot="1">
      <c r="A122" s="105"/>
      <c r="B122" s="81">
        <f>B121+7</f>
        <v>43779</v>
      </c>
      <c r="C122" s="20">
        <f>D121+G121-H121</f>
        <v>8230.1765656581847</v>
      </c>
      <c r="D122" s="17">
        <f>C122+(C122*0.03)</f>
        <v>8477.0818626279306</v>
      </c>
      <c r="E122" s="17">
        <f>C122/3250</f>
        <v>2.5323620202025183</v>
      </c>
      <c r="F122" s="28">
        <f>(D122-C122)/E122</f>
        <v>97.500000000000142</v>
      </c>
      <c r="G122" s="80"/>
      <c r="H122" s="80">
        <f>(D122-C109)*0.35</f>
        <v>885.99952050117429</v>
      </c>
      <c r="I122" s="19">
        <f>E122*50/C122</f>
        <v>1.5384615384615384E-2</v>
      </c>
      <c r="J122" s="85"/>
      <c r="K122" s="102" t="s">
        <v>49</v>
      </c>
    </row>
    <row r="123" spans="1:11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6"/>
    </row>
    <row r="124" spans="1:11">
      <c r="A124" s="103">
        <v>25</v>
      </c>
      <c r="B124" s="81">
        <f>B122+7</f>
        <v>43786</v>
      </c>
      <c r="C124" s="20">
        <f>D122+G122-H122</f>
        <v>7591.082342126756</v>
      </c>
      <c r="D124" s="17">
        <f>C124+(C124*0.03)</f>
        <v>7818.8148123905585</v>
      </c>
      <c r="E124" s="17">
        <f>C124/3250</f>
        <v>2.3357176437313094</v>
      </c>
      <c r="F124" s="28">
        <f>(D124-C124)/E124</f>
        <v>97.499999999999929</v>
      </c>
      <c r="G124" s="17"/>
      <c r="H124" s="18"/>
      <c r="I124" s="19">
        <f>E124*50/C124</f>
        <v>1.5384615384615384E-2</v>
      </c>
      <c r="J124" s="85"/>
    </row>
    <row r="125" spans="1:11">
      <c r="A125" s="104"/>
      <c r="B125" s="81">
        <f>B124+7</f>
        <v>43793</v>
      </c>
      <c r="C125" s="20">
        <f>D124+G124-H124</f>
        <v>7818.8148123905585</v>
      </c>
      <c r="D125" s="17">
        <f>C125+(C125*0.03)</f>
        <v>8053.379256762275</v>
      </c>
      <c r="E125" s="17">
        <f>C125/3250</f>
        <v>2.4057891730432486</v>
      </c>
      <c r="F125" s="28">
        <f>(D125-C125)/E125</f>
        <v>97.499999999999901</v>
      </c>
      <c r="G125" s="17"/>
      <c r="H125" s="18"/>
      <c r="I125" s="19">
        <f>E125*50/C125</f>
        <v>1.5384615384615382E-2</v>
      </c>
      <c r="J125" s="85"/>
    </row>
    <row r="126" spans="1:11">
      <c r="A126" s="104"/>
      <c r="B126" s="81">
        <f>B125+7</f>
        <v>43800</v>
      </c>
      <c r="C126" s="20">
        <f>D125+G125-H125</f>
        <v>8053.379256762275</v>
      </c>
      <c r="D126" s="17">
        <f>C126+(C126*0.03)</f>
        <v>8294.9806344651424</v>
      </c>
      <c r="E126" s="17">
        <f>C126/3250</f>
        <v>2.4779628482345459</v>
      </c>
      <c r="F126" s="28">
        <f>(D126-C126)/E126</f>
        <v>97.499999999999687</v>
      </c>
      <c r="G126" s="17"/>
      <c r="H126" s="18"/>
      <c r="I126" s="19">
        <f>E126*50/C126</f>
        <v>1.5384615384615382E-2</v>
      </c>
      <c r="J126" s="85"/>
    </row>
    <row r="127" spans="1:11" ht="13" thickBot="1">
      <c r="A127" s="105"/>
      <c r="B127" s="81">
        <f>B126+7</f>
        <v>43807</v>
      </c>
      <c r="C127" s="20">
        <f>D126+G126-H126</f>
        <v>8294.9806344651424</v>
      </c>
      <c r="D127" s="17">
        <f>C127+(C127*0.03)</f>
        <v>8543.8300534990958</v>
      </c>
      <c r="E127" s="17">
        <f>C127/3250</f>
        <v>2.5523017336815821</v>
      </c>
      <c r="F127" s="28">
        <f>(D127-C127)/E127</f>
        <v>97.499999999999659</v>
      </c>
      <c r="G127" s="80"/>
      <c r="H127" s="80"/>
      <c r="I127" s="19">
        <f>E127*50/C127</f>
        <v>1.5384615384615384E-2</v>
      </c>
      <c r="J127" s="85"/>
    </row>
    <row r="128" spans="1:11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6"/>
    </row>
    <row r="129" spans="1:11">
      <c r="A129" s="103">
        <v>26</v>
      </c>
      <c r="B129" s="81">
        <f>B127+7</f>
        <v>43814</v>
      </c>
      <c r="C129" s="20">
        <f>D127+G127-H127</f>
        <v>8543.8300534990958</v>
      </c>
      <c r="D129" s="17">
        <f>C129+(C129*0.03)</f>
        <v>8800.1449551040678</v>
      </c>
      <c r="E129" s="17">
        <f>C129/3250</f>
        <v>2.6288707856920297</v>
      </c>
      <c r="F129" s="28">
        <f>(D129-C129)/E129</f>
        <v>97.499999999999645</v>
      </c>
      <c r="G129" s="18"/>
      <c r="H129" s="18"/>
      <c r="I129" s="19">
        <f>E129*50/C129</f>
        <v>1.5384615384615385E-2</v>
      </c>
      <c r="J129" s="85"/>
    </row>
    <row r="130" spans="1:11">
      <c r="A130" s="104"/>
      <c r="B130" s="81">
        <f>B129+7</f>
        <v>43821</v>
      </c>
      <c r="C130" s="20">
        <f>D129+G129-H129</f>
        <v>8800.1449551040678</v>
      </c>
      <c r="D130" s="17">
        <f>C130+(C130*0.03)</f>
        <v>9064.149303757189</v>
      </c>
      <c r="E130" s="17">
        <f>C130/3250</f>
        <v>2.7077369092627901</v>
      </c>
      <c r="F130" s="28">
        <f>(D130-C130)/E130</f>
        <v>97.499999999999716</v>
      </c>
      <c r="G130" s="18"/>
      <c r="H130" s="18"/>
      <c r="I130" s="19">
        <f>E130*50/C130</f>
        <v>1.5384615384615385E-2</v>
      </c>
      <c r="J130" s="85"/>
    </row>
    <row r="131" spans="1:11">
      <c r="A131" s="104"/>
      <c r="B131" s="81">
        <f>B130+7</f>
        <v>43828</v>
      </c>
      <c r="C131" s="20">
        <f>D130+G130-H130</f>
        <v>9064.149303757189</v>
      </c>
      <c r="D131" s="17">
        <f>C131+(C131*0.03)</f>
        <v>9336.0737828699039</v>
      </c>
      <c r="E131" s="17">
        <f>C131/3250</f>
        <v>2.7889690165406735</v>
      </c>
      <c r="F131" s="28">
        <f>(D131-C131)/E131</f>
        <v>97.499999999999702</v>
      </c>
      <c r="G131" s="18"/>
      <c r="H131" s="18"/>
      <c r="I131" s="19">
        <f>E131*50/C131</f>
        <v>1.5384615384615384E-2</v>
      </c>
      <c r="J131" s="85"/>
    </row>
    <row r="132" spans="1:11" ht="13" thickBot="1">
      <c r="A132" s="105"/>
      <c r="B132" s="81">
        <f>B131+7</f>
        <v>43835</v>
      </c>
      <c r="C132" s="20">
        <f>D131+G131-H131</f>
        <v>9336.0737828699039</v>
      </c>
      <c r="D132" s="17">
        <f>C132+(C132*0.03)</f>
        <v>9616.1559963560012</v>
      </c>
      <c r="E132" s="17">
        <f>C132/3250</f>
        <v>2.8726380870368935</v>
      </c>
      <c r="F132" s="28">
        <f>(D132-C132)/E132</f>
        <v>97.500000000000071</v>
      </c>
      <c r="G132" s="80"/>
      <c r="H132" s="80"/>
      <c r="I132" s="19">
        <f>E132*50/C132</f>
        <v>1.5384615384615384E-2</v>
      </c>
      <c r="J132" s="85"/>
    </row>
    <row r="133" spans="1:11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6"/>
    </row>
    <row r="134" spans="1:11">
      <c r="A134" s="103">
        <v>27</v>
      </c>
      <c r="B134" s="81">
        <f>B132+7</f>
        <v>43842</v>
      </c>
      <c r="C134" s="20">
        <f>D132+G132-H132</f>
        <v>9616.1559963560012</v>
      </c>
      <c r="D134" s="17">
        <f>C134+(C134*0.03)</f>
        <v>9904.6406762466813</v>
      </c>
      <c r="E134" s="17">
        <f>C134/3250</f>
        <v>2.9588172296480004</v>
      </c>
      <c r="F134" s="28">
        <f>(D134-C134)/E134</f>
        <v>97.500000000000028</v>
      </c>
      <c r="G134" s="18"/>
      <c r="H134" s="18"/>
      <c r="I134" s="19">
        <f>E134*50/C134</f>
        <v>1.5384615384615384E-2</v>
      </c>
      <c r="J134" s="85"/>
    </row>
    <row r="135" spans="1:11">
      <c r="A135" s="104"/>
      <c r="B135" s="81">
        <f>B134+7</f>
        <v>43849</v>
      </c>
      <c r="C135" s="20">
        <f>D134+G134-H134</f>
        <v>9904.6406762466813</v>
      </c>
      <c r="D135" s="17">
        <f>C135+(C135*0.03)</f>
        <v>10201.779896534083</v>
      </c>
      <c r="E135" s="17">
        <f>C135/3250</f>
        <v>3.0475817465374404</v>
      </c>
      <c r="F135" s="28">
        <f>(D135-C135)/E135</f>
        <v>97.50000000000027</v>
      </c>
      <c r="G135" s="18"/>
      <c r="H135" s="18"/>
      <c r="I135" s="19">
        <f>E135*50/C135</f>
        <v>1.5384615384615385E-2</v>
      </c>
      <c r="J135" s="85"/>
    </row>
    <row r="136" spans="1:11">
      <c r="A136" s="104"/>
      <c r="B136" s="81">
        <f>B135+7</f>
        <v>43856</v>
      </c>
      <c r="C136" s="20">
        <f>D135+G135-H135</f>
        <v>10201.779896534083</v>
      </c>
      <c r="D136" s="17">
        <f>C136+(C136*0.03)</f>
        <v>10507.833293430105</v>
      </c>
      <c r="E136" s="17">
        <f>C136/3250</f>
        <v>3.139009198933564</v>
      </c>
      <c r="F136" s="28">
        <f>(D136-C136)/E136</f>
        <v>97.500000000000043</v>
      </c>
      <c r="G136" s="18"/>
      <c r="H136" s="18"/>
      <c r="I136" s="19">
        <f>E136*50/C136</f>
        <v>1.5384615384615385E-2</v>
      </c>
      <c r="J136" s="85"/>
    </row>
    <row r="137" spans="1:11" ht="13.5" thickBot="1">
      <c r="A137" s="105"/>
      <c r="B137" s="81">
        <f>B136+7</f>
        <v>43863</v>
      </c>
      <c r="C137" s="20">
        <f>D136+G136-H136</f>
        <v>10507.833293430105</v>
      </c>
      <c r="D137" s="17">
        <f>C137+(C137*0.03)</f>
        <v>10823.068292233009</v>
      </c>
      <c r="E137" s="17">
        <f>C137/3250</f>
        <v>3.2331794749015708</v>
      </c>
      <c r="F137" s="28">
        <f>(D137-C137)/E137</f>
        <v>97.500000000000156</v>
      </c>
      <c r="G137" s="80"/>
      <c r="H137" s="80">
        <f>(D137-C124)*0.35</f>
        <v>1131.1950825371885</v>
      </c>
      <c r="I137" s="19">
        <f>E137*50/C137</f>
        <v>1.5384615384615384E-2</v>
      </c>
      <c r="J137" s="85"/>
      <c r="K137" s="102" t="s">
        <v>49</v>
      </c>
    </row>
    <row r="138" spans="1:11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89"/>
    </row>
    <row r="139" spans="1:11">
      <c r="A139" s="103">
        <v>28</v>
      </c>
      <c r="B139" s="81">
        <f>B137+7</f>
        <v>43870</v>
      </c>
      <c r="C139" s="20">
        <f>D137+G137-H137</f>
        <v>9691.8732096958211</v>
      </c>
      <c r="D139" s="17">
        <f>C139+(C139*0.03)</f>
        <v>9982.6294059866959</v>
      </c>
      <c r="E139" s="17">
        <f>C139/3250</f>
        <v>2.9821148337525605</v>
      </c>
      <c r="F139" s="28">
        <f>(D139-C139)/E139</f>
        <v>97.500000000000071</v>
      </c>
      <c r="G139" s="18"/>
      <c r="H139" s="18"/>
      <c r="I139" s="19">
        <f>E139*50/C139</f>
        <v>1.5384615384615384E-2</v>
      </c>
      <c r="J139" s="85"/>
    </row>
    <row r="140" spans="1:11">
      <c r="A140" s="104"/>
      <c r="B140" s="81">
        <f>B139+7</f>
        <v>43877</v>
      </c>
      <c r="C140" s="20">
        <f>D139+G139-H139</f>
        <v>9982.6294059866959</v>
      </c>
      <c r="D140" s="17">
        <f>C140+(C140*0.03)</f>
        <v>10282.108288166297</v>
      </c>
      <c r="E140" s="17">
        <f>C140/3250</f>
        <v>3.0715782787651373</v>
      </c>
      <c r="F140" s="28">
        <f>(D140-C140)/E140</f>
        <v>97.500000000000028</v>
      </c>
      <c r="G140" s="18"/>
      <c r="H140" s="18"/>
      <c r="I140" s="19">
        <f>E140*50/C140</f>
        <v>1.5384615384615385E-2</v>
      </c>
      <c r="J140" s="85"/>
    </row>
    <row r="141" spans="1:11">
      <c r="A141" s="104"/>
      <c r="B141" s="81">
        <f>B140+7</f>
        <v>43884</v>
      </c>
      <c r="C141" s="20">
        <f>D140+G140-H140</f>
        <v>10282.108288166297</v>
      </c>
      <c r="D141" s="17">
        <f>C141+(C141*0.03)</f>
        <v>10590.571536811285</v>
      </c>
      <c r="E141" s="17">
        <f>C141/3250</f>
        <v>3.1637256271280916</v>
      </c>
      <c r="F141" s="28">
        <f>(D141-C141)/E141</f>
        <v>97.499999999999773</v>
      </c>
      <c r="G141" s="18"/>
      <c r="H141" s="18"/>
      <c r="I141" s="19">
        <f>E141*50/C141</f>
        <v>1.5384615384615385E-2</v>
      </c>
      <c r="J141" s="85"/>
    </row>
    <row r="142" spans="1:11" ht="13" thickBot="1">
      <c r="A142" s="105"/>
      <c r="B142" s="81">
        <f>B141+7</f>
        <v>43891</v>
      </c>
      <c r="C142" s="20">
        <f>D141+G141-H141</f>
        <v>10590.571536811285</v>
      </c>
      <c r="D142" s="17">
        <f>C142+(C142*0.03)</f>
        <v>10908.288682915623</v>
      </c>
      <c r="E142" s="17">
        <f>C142/3250</f>
        <v>3.2586373959419337</v>
      </c>
      <c r="F142" s="28">
        <f>(D142-C142)/E142</f>
        <v>97.499999999999872</v>
      </c>
      <c r="G142" s="80"/>
      <c r="H142" s="80"/>
      <c r="I142" s="19">
        <f>E142*50/C142</f>
        <v>1.5384615384615384E-2</v>
      </c>
      <c r="J142" s="85"/>
    </row>
    <row r="143" spans="1:11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6"/>
    </row>
    <row r="144" spans="1:11">
      <c r="A144" s="103">
        <v>29</v>
      </c>
      <c r="B144" s="81">
        <f>B142+7</f>
        <v>43898</v>
      </c>
      <c r="C144" s="20">
        <f>D142+G142-H142</f>
        <v>10908.288682915623</v>
      </c>
      <c r="D144" s="17">
        <f>C144+(C144*0.03)</f>
        <v>11235.537343403092</v>
      </c>
      <c r="E144" s="17">
        <f>C144/3250</f>
        <v>3.3563965178201918</v>
      </c>
      <c r="F144" s="28">
        <f>(D144-C144)/E144</f>
        <v>97.499999999999929</v>
      </c>
      <c r="G144" s="18"/>
      <c r="H144" s="18"/>
      <c r="I144" s="19">
        <f>E144*50/C144</f>
        <v>1.5384615384615385E-2</v>
      </c>
      <c r="J144" s="85"/>
    </row>
    <row r="145" spans="1:11">
      <c r="A145" s="104"/>
      <c r="B145" s="81">
        <f>B144+7</f>
        <v>43905</v>
      </c>
      <c r="C145" s="20">
        <f>D144+G144-H144</f>
        <v>11235.537343403092</v>
      </c>
      <c r="D145" s="17">
        <f>C145+(C145*0.03)</f>
        <v>11572.603463705185</v>
      </c>
      <c r="E145" s="17">
        <f>C145/3250</f>
        <v>3.4570884133547972</v>
      </c>
      <c r="F145" s="28">
        <f>(D145-C145)/E145</f>
        <v>97.500000000000256</v>
      </c>
      <c r="G145" s="18"/>
      <c r="H145" s="18"/>
      <c r="I145" s="19">
        <f>E145*50/C145</f>
        <v>1.5384615384615385E-2</v>
      </c>
      <c r="J145" s="85"/>
    </row>
    <row r="146" spans="1:11">
      <c r="A146" s="104"/>
      <c r="B146" s="81">
        <f>B145+7</f>
        <v>43912</v>
      </c>
      <c r="C146" s="20">
        <f>D145+G145-H145</f>
        <v>11572.603463705185</v>
      </c>
      <c r="D146" s="17">
        <f>C146+(C146*0.03)</f>
        <v>11919.781567616341</v>
      </c>
      <c r="E146" s="17">
        <f>C146/3250</f>
        <v>3.5608010657554416</v>
      </c>
      <c r="F146" s="28">
        <f>(D146-C146)/E146</f>
        <v>97.500000000000014</v>
      </c>
      <c r="G146" s="18"/>
      <c r="H146" s="18"/>
      <c r="I146" s="19">
        <f>E146*50/C146</f>
        <v>1.5384615384615385E-2</v>
      </c>
      <c r="J146" s="85"/>
    </row>
    <row r="147" spans="1:11" ht="13" thickBot="1">
      <c r="A147" s="105"/>
      <c r="B147" s="81">
        <f>B146+7</f>
        <v>43919</v>
      </c>
      <c r="C147" s="20">
        <f>D146+G146-H146</f>
        <v>11919.781567616341</v>
      </c>
      <c r="D147" s="17">
        <f>C147+(C147*0.03)</f>
        <v>12277.375014644831</v>
      </c>
      <c r="E147" s="17">
        <f>C147/3250</f>
        <v>3.6676250977281049</v>
      </c>
      <c r="F147" s="28">
        <f>(D147-C147)/E147</f>
        <v>97.499999999999972</v>
      </c>
      <c r="G147" s="80"/>
      <c r="H147" s="80"/>
      <c r="I147" s="19">
        <f>E147*50/C147</f>
        <v>1.5384615384615384E-2</v>
      </c>
      <c r="J147" s="85"/>
    </row>
    <row r="148" spans="1:11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6"/>
    </row>
    <row r="149" spans="1:11">
      <c r="A149" s="103">
        <v>30</v>
      </c>
      <c r="B149" s="81">
        <f>B147+7</f>
        <v>43926</v>
      </c>
      <c r="C149" s="20">
        <f>D147+G147-H147</f>
        <v>12277.375014644831</v>
      </c>
      <c r="D149" s="17">
        <f>C149+(C149*0.03)</f>
        <v>12645.696265084176</v>
      </c>
      <c r="E149" s="17">
        <f>C149/3250</f>
        <v>3.7776538506599482</v>
      </c>
      <c r="F149" s="28">
        <f>(D149-C149)/E149</f>
        <v>97.500000000000014</v>
      </c>
      <c r="G149" s="18"/>
      <c r="H149" s="18"/>
      <c r="I149" s="19">
        <f>E149*50/C149</f>
        <v>1.5384615384615384E-2</v>
      </c>
      <c r="J149" s="85"/>
    </row>
    <row r="150" spans="1:11">
      <c r="A150" s="104"/>
      <c r="B150" s="81">
        <f>B149+7</f>
        <v>43933</v>
      </c>
      <c r="C150" s="20">
        <f>D149+G149-H149</f>
        <v>12645.696265084176</v>
      </c>
      <c r="D150" s="17">
        <f>C150+(C150*0.03)</f>
        <v>13025.067153036702</v>
      </c>
      <c r="E150" s="17">
        <f>C150/3250</f>
        <v>3.8909834661797467</v>
      </c>
      <c r="F150" s="28">
        <f>(D150-C150)/E150</f>
        <v>97.500000000000099</v>
      </c>
      <c r="G150" s="18"/>
      <c r="H150" s="18"/>
      <c r="I150" s="19">
        <f>E150*50/C150</f>
        <v>1.5384615384615384E-2</v>
      </c>
      <c r="J150" s="85"/>
    </row>
    <row r="151" spans="1:11">
      <c r="A151" s="104"/>
      <c r="B151" s="81">
        <f>B150+7</f>
        <v>43940</v>
      </c>
      <c r="C151" s="20">
        <f>D150+G150-H150</f>
        <v>13025.067153036702</v>
      </c>
      <c r="D151" s="17">
        <f>C151+(C151*0.03)</f>
        <v>13415.819167627802</v>
      </c>
      <c r="E151" s="17">
        <f>C151/3250</f>
        <v>4.0077129701651391</v>
      </c>
      <c r="F151" s="28">
        <f>(D151-C151)/E151</f>
        <v>97.499999999999815</v>
      </c>
      <c r="G151" s="18"/>
      <c r="H151" s="18"/>
      <c r="I151" s="19">
        <f>E151*50/C151</f>
        <v>1.5384615384615385E-2</v>
      </c>
      <c r="J151" s="85"/>
    </row>
    <row r="152" spans="1:11" ht="13.5" thickBot="1">
      <c r="A152" s="105"/>
      <c r="B152" s="81">
        <f>B151+7</f>
        <v>43947</v>
      </c>
      <c r="C152" s="20">
        <f>D151+G151-H151</f>
        <v>13415.819167627802</v>
      </c>
      <c r="D152" s="17">
        <f>C152+(C152*0.03)</f>
        <v>13818.293742656637</v>
      </c>
      <c r="E152" s="17">
        <f>C152/3250</f>
        <v>4.1279443592700931</v>
      </c>
      <c r="F152" s="28">
        <f>(D152-C152)/E152</f>
        <v>97.500000000000171</v>
      </c>
      <c r="G152" s="80"/>
      <c r="H152" s="80">
        <f>(D152-C139)*0.35</f>
        <v>1444.2471865362854</v>
      </c>
      <c r="I152" s="19">
        <f>E152*50/C152</f>
        <v>1.5384615384615385E-2</v>
      </c>
      <c r="J152" s="85"/>
      <c r="K152" s="102" t="s">
        <v>49</v>
      </c>
    </row>
    <row r="153" spans="1:11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6"/>
    </row>
    <row r="154" spans="1:11">
      <c r="A154" s="103">
        <v>31</v>
      </c>
      <c r="B154" s="81">
        <f>B152+7</f>
        <v>43954</v>
      </c>
      <c r="C154" s="20">
        <f>D152+G152-H152</f>
        <v>12374.046556120351</v>
      </c>
      <c r="D154" s="17">
        <f>C154+(C154*0.03)</f>
        <v>12745.267952803961</v>
      </c>
      <c r="E154" s="17">
        <f>C154/3250</f>
        <v>3.8073989403447235</v>
      </c>
      <c r="F154" s="28">
        <f>(D154-C154)/E154</f>
        <v>97.499999999999801</v>
      </c>
      <c r="G154" s="17"/>
      <c r="H154" s="79"/>
      <c r="I154" s="19">
        <f>E154*50/C154</f>
        <v>1.5384615384615385E-2</v>
      </c>
      <c r="J154" s="85"/>
    </row>
    <row r="155" spans="1:11">
      <c r="A155" s="104"/>
      <c r="B155" s="81">
        <f>B154+7</f>
        <v>43961</v>
      </c>
      <c r="C155" s="20">
        <f>D154+G154-H154</f>
        <v>12745.267952803961</v>
      </c>
      <c r="D155" s="17">
        <f>C155+(C155*0.03)</f>
        <v>13127.62599138808</v>
      </c>
      <c r="E155" s="17">
        <f>C155/3250</f>
        <v>3.9216209085550648</v>
      </c>
      <c r="F155" s="28">
        <f>(D155-C155)/E155</f>
        <v>97.500000000000213</v>
      </c>
      <c r="G155" s="17"/>
      <c r="H155" s="79"/>
      <c r="I155" s="19">
        <f>E155*50/C155</f>
        <v>1.5384615384615385E-2</v>
      </c>
      <c r="J155" s="85"/>
    </row>
    <row r="156" spans="1:11">
      <c r="A156" s="104"/>
      <c r="B156" s="81">
        <f>B155+7</f>
        <v>43968</v>
      </c>
      <c r="C156" s="20">
        <f>D155+G155-H155</f>
        <v>13127.62599138808</v>
      </c>
      <c r="D156" s="17">
        <f>C156+(C156*0.03)</f>
        <v>13521.454771129724</v>
      </c>
      <c r="E156" s="17">
        <f>C156/3250</f>
        <v>4.0392695358117168</v>
      </c>
      <c r="F156" s="28">
        <f>(D156-C156)/E156</f>
        <v>97.500000000000227</v>
      </c>
      <c r="G156" s="17"/>
      <c r="H156" s="79"/>
      <c r="I156" s="19">
        <f>E156*50/C156</f>
        <v>1.5384615384615384E-2</v>
      </c>
      <c r="J156" s="85"/>
    </row>
    <row r="157" spans="1:11" ht="13" thickBot="1">
      <c r="A157" s="105"/>
      <c r="B157" s="81">
        <f>B156+7</f>
        <v>43975</v>
      </c>
      <c r="C157" s="20">
        <f>D156+G156-H156</f>
        <v>13521.454771129724</v>
      </c>
      <c r="D157" s="17">
        <f>C157+(C157*0.03)</f>
        <v>13927.098414263615</v>
      </c>
      <c r="E157" s="17">
        <f>C157/3250</f>
        <v>4.1604476218860684</v>
      </c>
      <c r="F157" s="28">
        <f>(D157-C157)/E157</f>
        <v>97.499999999999986</v>
      </c>
      <c r="G157" s="80"/>
      <c r="H157" s="80"/>
      <c r="I157" s="19">
        <f>E157*50/C157</f>
        <v>1.5384615384615384E-2</v>
      </c>
      <c r="J157" s="85"/>
    </row>
    <row r="158" spans="1:11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6"/>
    </row>
    <row r="159" spans="1:11">
      <c r="A159" s="103">
        <v>32</v>
      </c>
      <c r="B159" s="81">
        <f>B157+7</f>
        <v>43982</v>
      </c>
      <c r="C159" s="20">
        <f>D157+G157-H157</f>
        <v>13927.098414263615</v>
      </c>
      <c r="D159" s="17">
        <f>C159+(C159*0.03)</f>
        <v>14344.911366691524</v>
      </c>
      <c r="E159" s="17">
        <f>C159/3250</f>
        <v>4.2852610505426512</v>
      </c>
      <c r="F159" s="28">
        <f>(D159-C159)/E159</f>
        <v>97.499999999999972</v>
      </c>
      <c r="G159" s="18"/>
      <c r="H159" s="18"/>
      <c r="I159" s="19">
        <f>E159*50/C159</f>
        <v>1.5384615384615387E-2</v>
      </c>
      <c r="J159" s="85"/>
    </row>
    <row r="160" spans="1:11">
      <c r="A160" s="104"/>
      <c r="B160" s="81">
        <f>B159+7</f>
        <v>43989</v>
      </c>
      <c r="C160" s="20">
        <f>D159+G159-H159</f>
        <v>14344.911366691524</v>
      </c>
      <c r="D160" s="17">
        <f>C160+(C160*0.03)</f>
        <v>14775.25870769227</v>
      </c>
      <c r="E160" s="17">
        <f>C160/3250</f>
        <v>4.4138188820589299</v>
      </c>
      <c r="F160" s="28">
        <f>(D160-C160)/E160</f>
        <v>97.500000000000156</v>
      </c>
      <c r="G160" s="18"/>
      <c r="H160" s="18"/>
      <c r="I160" s="19">
        <f>E160*50/C160</f>
        <v>1.5384615384615384E-2</v>
      </c>
      <c r="J160" s="85"/>
    </row>
    <row r="161" spans="1:11">
      <c r="A161" s="104"/>
      <c r="B161" s="81">
        <f>B160+7</f>
        <v>43996</v>
      </c>
      <c r="C161" s="20">
        <f>D160+G160-H160</f>
        <v>14775.25870769227</v>
      </c>
      <c r="D161" s="17">
        <f>C161+(C161*0.03)</f>
        <v>15218.516468923039</v>
      </c>
      <c r="E161" s="17">
        <f>C161/3250</f>
        <v>4.5462334485206988</v>
      </c>
      <c r="F161" s="28">
        <f>(D161-C161)/E161</f>
        <v>97.500000000000114</v>
      </c>
      <c r="G161" s="18"/>
      <c r="H161" s="18"/>
      <c r="I161" s="19">
        <f>E161*50/C161</f>
        <v>1.5384615384615385E-2</v>
      </c>
      <c r="J161" s="85"/>
    </row>
    <row r="162" spans="1:11" ht="13" thickBot="1">
      <c r="A162" s="105"/>
      <c r="B162" s="81">
        <f>B161+7</f>
        <v>44003</v>
      </c>
      <c r="C162" s="20">
        <f>D161+G161-H161</f>
        <v>15218.516468923039</v>
      </c>
      <c r="D162" s="17">
        <f>C162+(C162*0.03)</f>
        <v>15675.071962990729</v>
      </c>
      <c r="E162" s="17">
        <f>C162/3250</f>
        <v>4.6826204519763195</v>
      </c>
      <c r="F162" s="28">
        <f>(D162-C162)/E162</f>
        <v>97.499999999999801</v>
      </c>
      <c r="G162" s="80"/>
      <c r="H162" s="80"/>
      <c r="I162" s="19">
        <f>E162*50/C162</f>
        <v>1.5384615384615384E-2</v>
      </c>
      <c r="J162" s="85"/>
    </row>
    <row r="163" spans="1:11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6"/>
    </row>
    <row r="164" spans="1:11">
      <c r="A164" s="103">
        <v>33</v>
      </c>
      <c r="B164" s="81">
        <f>B162+7</f>
        <v>44010</v>
      </c>
      <c r="C164" s="20">
        <f>D162+G162-H162</f>
        <v>15675.071962990729</v>
      </c>
      <c r="D164" s="17">
        <f>C164+(C164*0.03)</f>
        <v>16145.324121880451</v>
      </c>
      <c r="E164" s="17">
        <f>C164/3250</f>
        <v>4.823099065535609</v>
      </c>
      <c r="F164" s="28">
        <f>(D164-C164)/E164</f>
        <v>97.499999999999943</v>
      </c>
      <c r="G164" s="18"/>
      <c r="H164" s="18"/>
      <c r="I164" s="19">
        <f>E164*50/C164</f>
        <v>1.5384615384615385E-2</v>
      </c>
      <c r="J164" s="85"/>
    </row>
    <row r="165" spans="1:11">
      <c r="A165" s="104"/>
      <c r="B165" s="81">
        <f>B164+7</f>
        <v>44017</v>
      </c>
      <c r="C165" s="20">
        <f>D164+G164-H164</f>
        <v>16145.324121880451</v>
      </c>
      <c r="D165" s="17">
        <f>C165+(C165*0.03)</f>
        <v>16629.683845536863</v>
      </c>
      <c r="E165" s="17">
        <f>C165/3250</f>
        <v>4.9677920375016775</v>
      </c>
      <c r="F165" s="28">
        <f>(D165-C165)/E165</f>
        <v>97.499999999999858</v>
      </c>
      <c r="G165" s="18"/>
      <c r="H165" s="18"/>
      <c r="I165" s="19">
        <f>E165*50/C165</f>
        <v>1.5384615384615387E-2</v>
      </c>
      <c r="J165" s="85"/>
    </row>
    <row r="166" spans="1:11">
      <c r="A166" s="104"/>
      <c r="B166" s="81">
        <f>B165+7</f>
        <v>44024</v>
      </c>
      <c r="C166" s="20">
        <f>D165+G165-H165</f>
        <v>16629.683845536863</v>
      </c>
      <c r="D166" s="17">
        <f>C166+(C166*0.03)</f>
        <v>17128.574360902971</v>
      </c>
      <c r="E166" s="17">
        <f>C166/3250</f>
        <v>5.1168257986267269</v>
      </c>
      <c r="F166" s="28">
        <f>(D166-C166)/E166</f>
        <v>97.500000000000242</v>
      </c>
      <c r="G166" s="18"/>
      <c r="H166" s="18"/>
      <c r="I166" s="19">
        <f>E166*50/C166</f>
        <v>1.5384615384615384E-2</v>
      </c>
      <c r="J166" s="85"/>
    </row>
    <row r="167" spans="1:11" ht="13.5" thickBot="1">
      <c r="A167" s="105"/>
      <c r="B167" s="81">
        <f>B166+7</f>
        <v>44031</v>
      </c>
      <c r="C167" s="20">
        <f>D166+G166-H166</f>
        <v>17128.574360902971</v>
      </c>
      <c r="D167" s="17">
        <f>C167+(C167*0.03)</f>
        <v>17642.431591730059</v>
      </c>
      <c r="E167" s="17">
        <f>C167/3250</f>
        <v>5.2703305725855296</v>
      </c>
      <c r="F167" s="28">
        <f>(D167-C167)/E167</f>
        <v>97.499999999999901</v>
      </c>
      <c r="G167" s="80"/>
      <c r="H167" s="80">
        <f>(D167-C154)*0.35</f>
        <v>1843.9347624633976</v>
      </c>
      <c r="I167" s="19">
        <f>E167*50/C167</f>
        <v>1.5384615384615385E-2</v>
      </c>
      <c r="J167" s="85"/>
      <c r="K167" s="102" t="s">
        <v>49</v>
      </c>
    </row>
    <row r="168" spans="1:11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6"/>
    </row>
    <row r="169" spans="1:11">
      <c r="A169" s="103">
        <v>34</v>
      </c>
      <c r="B169" s="81">
        <f>B167+7</f>
        <v>44038</v>
      </c>
      <c r="C169" s="20">
        <f>D167+G167-H167</f>
        <v>15798.496829266662</v>
      </c>
      <c r="D169" s="17">
        <f>C169+(C169*0.03)</f>
        <v>16272.451734144661</v>
      </c>
      <c r="E169" s="17">
        <f>C169/3250</f>
        <v>4.8610759474666647</v>
      </c>
      <c r="F169" s="28">
        <f>(D169-C169)/E169</f>
        <v>97.499999999999844</v>
      </c>
      <c r="G169" s="18"/>
      <c r="H169" s="18"/>
      <c r="I169" s="19">
        <f>E169*50/C169</f>
        <v>1.5384615384615382E-2</v>
      </c>
      <c r="J169" s="85"/>
    </row>
    <row r="170" spans="1:11">
      <c r="A170" s="104"/>
      <c r="B170" s="81">
        <f>B169+7</f>
        <v>44045</v>
      </c>
      <c r="C170" s="20">
        <f>D169+G169-H169</f>
        <v>16272.451734144661</v>
      </c>
      <c r="D170" s="17">
        <f>C170+(C170*0.03)</f>
        <v>16760.625286169001</v>
      </c>
      <c r="E170" s="17">
        <f>C170/3250</f>
        <v>5.0069082258906645</v>
      </c>
      <c r="F170" s="28">
        <f>(D170-C170)/E170</f>
        <v>97.500000000000057</v>
      </c>
      <c r="G170" s="18"/>
      <c r="H170" s="18"/>
      <c r="I170" s="19">
        <f>E170*50/C170</f>
        <v>1.5384615384615384E-2</v>
      </c>
      <c r="J170" s="85"/>
    </row>
    <row r="171" spans="1:11">
      <c r="A171" s="104"/>
      <c r="B171" s="81">
        <f>B170+7</f>
        <v>44052</v>
      </c>
      <c r="C171" s="20">
        <f>D170+G170-H170</f>
        <v>16760.625286169001</v>
      </c>
      <c r="D171" s="17">
        <f>C171+(C171*0.03)</f>
        <v>17263.444044754069</v>
      </c>
      <c r="E171" s="17">
        <f>C171/3250</f>
        <v>5.1571154726673845</v>
      </c>
      <c r="F171" s="28">
        <f>(D171-C171)/E171</f>
        <v>97.499999999999673</v>
      </c>
      <c r="G171" s="18"/>
      <c r="H171" s="18"/>
      <c r="I171" s="19">
        <f>E171*50/C171</f>
        <v>1.5384615384615382E-2</v>
      </c>
      <c r="J171" s="85"/>
    </row>
    <row r="172" spans="1:11" ht="13" thickBot="1">
      <c r="A172" s="105"/>
      <c r="B172" s="81">
        <f>B171+7</f>
        <v>44059</v>
      </c>
      <c r="C172" s="20">
        <f>D171+G171-H171</f>
        <v>17263.444044754069</v>
      </c>
      <c r="D172" s="17">
        <f>C172+(C172*0.03)</f>
        <v>17781.347366096692</v>
      </c>
      <c r="E172" s="17">
        <f>C172/3250</f>
        <v>5.3118289368474061</v>
      </c>
      <c r="F172" s="28">
        <f>(D172-C172)/E172</f>
        <v>97.500000000000128</v>
      </c>
      <c r="G172" s="80"/>
      <c r="H172" s="80"/>
      <c r="I172" s="19">
        <f>E172*50/C172</f>
        <v>1.5384615384615385E-2</v>
      </c>
      <c r="J172" s="85"/>
    </row>
    <row r="173" spans="1:11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6"/>
    </row>
    <row r="174" spans="1:11">
      <c r="A174" s="103">
        <v>35</v>
      </c>
      <c r="B174" s="81">
        <f>B172+7</f>
        <v>44066</v>
      </c>
      <c r="C174" s="20">
        <f>D172+G172-H172</f>
        <v>17781.347366096692</v>
      </c>
      <c r="D174" s="17">
        <f>C174+(C174*0.03)</f>
        <v>18314.787787079593</v>
      </c>
      <c r="E174" s="17">
        <f>C174/3250</f>
        <v>5.4711838049528287</v>
      </c>
      <c r="F174" s="28">
        <f>(D174-C174)/E174</f>
        <v>97.5</v>
      </c>
      <c r="G174" s="18"/>
      <c r="H174" s="18"/>
      <c r="I174" s="19">
        <f>E174*50/C174</f>
        <v>1.5384615384615385E-2</v>
      </c>
      <c r="J174" s="85"/>
    </row>
    <row r="175" spans="1:11">
      <c r="A175" s="104"/>
      <c r="B175" s="81">
        <f>B174+7</f>
        <v>44073</v>
      </c>
      <c r="C175" s="20">
        <f>D174+G174-H174</f>
        <v>18314.787787079593</v>
      </c>
      <c r="D175" s="17">
        <f>C175+(C175*0.03)</f>
        <v>18864.23142069198</v>
      </c>
      <c r="E175" s="17">
        <f>C175/3250</f>
        <v>5.6353193191014128</v>
      </c>
      <c r="F175" s="28">
        <f>(D175-C175)/E175</f>
        <v>97.499999999999901</v>
      </c>
      <c r="G175" s="18"/>
      <c r="H175" s="18"/>
      <c r="I175" s="19">
        <f>E175*50/C175</f>
        <v>1.5384615384615385E-2</v>
      </c>
      <c r="J175" s="85"/>
    </row>
    <row r="176" spans="1:11">
      <c r="A176" s="104"/>
      <c r="B176" s="81">
        <f>B175+7</f>
        <v>44080</v>
      </c>
      <c r="C176" s="20">
        <f>D175+G175-H175</f>
        <v>18864.23142069198</v>
      </c>
      <c r="D176" s="17">
        <f>C176+(C176*0.03)</f>
        <v>19430.158363312741</v>
      </c>
      <c r="E176" s="17">
        <f>C176/3250</f>
        <v>5.8043788986744556</v>
      </c>
      <c r="F176" s="28">
        <f>(D176-C176)/E176</f>
        <v>97.500000000000298</v>
      </c>
      <c r="G176" s="18"/>
      <c r="H176" s="18"/>
      <c r="I176" s="19">
        <f>E176*50/C176</f>
        <v>1.5384615384615384E-2</v>
      </c>
      <c r="J176" s="85"/>
    </row>
    <row r="177" spans="1:11" ht="13.5" thickBot="1">
      <c r="A177" s="105"/>
      <c r="B177" s="81">
        <f>B176+7</f>
        <v>44087</v>
      </c>
      <c r="C177" s="20">
        <f>D176+G176-H176</f>
        <v>19430.158363312741</v>
      </c>
      <c r="D177" s="17">
        <f>C177+(C177*0.03)</f>
        <v>20013.063114212124</v>
      </c>
      <c r="E177" s="17">
        <f>C177/3250</f>
        <v>5.9785102656346893</v>
      </c>
      <c r="F177" s="28">
        <f>(D177-C177)/E177</f>
        <v>97.500000000000071</v>
      </c>
      <c r="G177" s="80"/>
      <c r="H177" s="80">
        <f>(D177-C169)*0.35</f>
        <v>1475.0981997309116</v>
      </c>
      <c r="I177" s="19">
        <f>E177*50/C177</f>
        <v>1.5384615384615385E-2</v>
      </c>
      <c r="J177" s="85"/>
      <c r="K177" s="102" t="s">
        <v>49</v>
      </c>
    </row>
    <row r="178" spans="1:11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6"/>
    </row>
  </sheetData>
  <mergeCells count="36">
    <mergeCell ref="A174:A177"/>
    <mergeCell ref="A159:A162"/>
    <mergeCell ref="A164:A167"/>
    <mergeCell ref="A169:A172"/>
    <mergeCell ref="A154:A157"/>
    <mergeCell ref="A149:A152"/>
    <mergeCell ref="A109:A112"/>
    <mergeCell ref="A114:A117"/>
    <mergeCell ref="A119:A122"/>
    <mergeCell ref="A94:A97"/>
    <mergeCell ref="A99:A102"/>
    <mergeCell ref="A104:A107"/>
    <mergeCell ref="A124:A127"/>
    <mergeCell ref="A129:A132"/>
    <mergeCell ref="A134:A137"/>
    <mergeCell ref="A139:A142"/>
    <mergeCell ref="A144:A147"/>
    <mergeCell ref="A79:A82"/>
    <mergeCell ref="A84:A87"/>
    <mergeCell ref="A89:A92"/>
    <mergeCell ref="A64:A67"/>
    <mergeCell ref="A69:A72"/>
    <mergeCell ref="A74:A77"/>
    <mergeCell ref="A49:A52"/>
    <mergeCell ref="A54:A57"/>
    <mergeCell ref="A59:A62"/>
    <mergeCell ref="A34:A37"/>
    <mergeCell ref="A39:A42"/>
    <mergeCell ref="A44:A47"/>
    <mergeCell ref="A19:A22"/>
    <mergeCell ref="A24:A27"/>
    <mergeCell ref="A29:A32"/>
    <mergeCell ref="A14:A17"/>
    <mergeCell ref="B1:I1"/>
    <mergeCell ref="A4:A7"/>
    <mergeCell ref="A9:A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93"/>
  <sheetViews>
    <sheetView workbookViewId="0">
      <selection activeCell="C19" sqref="C19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1" width="61.6328125" style="75" bestFit="1" customWidth="1"/>
    <col min="12" max="16384" width="9.1796875" style="75"/>
  </cols>
  <sheetData>
    <row r="1" spans="1:10" ht="13.5" thickBot="1">
      <c r="B1" s="106"/>
      <c r="C1" s="107"/>
      <c r="D1" s="107"/>
      <c r="E1" s="107"/>
      <c r="F1" s="107"/>
      <c r="G1" s="107"/>
      <c r="H1" s="107"/>
      <c r="I1" s="107"/>
      <c r="J1" s="107"/>
    </row>
    <row r="2" spans="1:10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0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0">
      <c r="A4" s="103">
        <v>1</v>
      </c>
      <c r="B4" s="81">
        <v>43044</v>
      </c>
      <c r="C4" s="20">
        <v>500</v>
      </c>
      <c r="D4" s="17">
        <f>C4+(C4*-0.0353)</f>
        <v>482.35</v>
      </c>
      <c r="E4" s="17">
        <f>C4/3000</f>
        <v>0.16666666666666666</v>
      </c>
      <c r="F4" s="94">
        <f>(D4-C4)/E4</f>
        <v>-105.89999999999986</v>
      </c>
      <c r="G4" s="18"/>
      <c r="H4" s="18"/>
      <c r="I4" s="19">
        <f>E4*50/C4</f>
        <v>1.6666666666666663E-2</v>
      </c>
      <c r="J4" s="90">
        <f>(D4-C4)/C4</f>
        <v>-3.5299999999999956E-2</v>
      </c>
    </row>
    <row r="5" spans="1:10">
      <c r="A5" s="104"/>
      <c r="B5" s="81">
        <f>B4+7</f>
        <v>43051</v>
      </c>
      <c r="C5" s="17">
        <f>D4+G4-H4</f>
        <v>482.35</v>
      </c>
      <c r="D5" s="99">
        <f>C5+(C5*-0.1562)</f>
        <v>407.00693000000001</v>
      </c>
      <c r="E5" s="17">
        <f>C5/3000</f>
        <v>0.16078333333333333</v>
      </c>
      <c r="F5" s="96">
        <f>(D5-C5)/E5</f>
        <v>-468.60000000000008</v>
      </c>
      <c r="G5" s="18"/>
      <c r="H5" s="18"/>
      <c r="I5" s="19">
        <f>E5*50/C5</f>
        <v>1.6666666666666666E-2</v>
      </c>
      <c r="J5" s="90">
        <f>(D5-C4)/C4</f>
        <v>-0.18598613999999997</v>
      </c>
    </row>
    <row r="6" spans="1:10">
      <c r="A6" s="104"/>
      <c r="B6" s="81">
        <f>B5+7</f>
        <v>43058</v>
      </c>
      <c r="C6" s="17">
        <f>D5+G5-H5</f>
        <v>407.00693000000001</v>
      </c>
      <c r="D6" s="21">
        <f>C6+(C6*0.081)</f>
        <v>439.97449133000003</v>
      </c>
      <c r="E6" s="17">
        <f>C6/2500</f>
        <v>0.16280277200000001</v>
      </c>
      <c r="F6" s="101">
        <f>(D6-C6)/E6</f>
        <v>202.50000000000014</v>
      </c>
      <c r="G6" s="18"/>
      <c r="H6" s="18"/>
      <c r="I6" s="19">
        <f>E6*50/C6</f>
        <v>0.02</v>
      </c>
      <c r="J6" s="90">
        <f>(D6-C4)/C4</f>
        <v>-0.12005101733999993</v>
      </c>
    </row>
    <row r="7" spans="1:10" ht="13" thickBot="1">
      <c r="A7" s="105"/>
      <c r="B7" s="81">
        <f>B6+7</f>
        <v>43065</v>
      </c>
      <c r="C7" s="17">
        <f>D6+G6-H6</f>
        <v>439.97449133000003</v>
      </c>
      <c r="D7" s="17">
        <f>C7+(C7*-0.0343)</f>
        <v>424.88336627738101</v>
      </c>
      <c r="E7" s="17">
        <f>C7/2500</f>
        <v>0.175989796532</v>
      </c>
      <c r="F7" s="94">
        <f>(D7-C7)/E7</f>
        <v>-85.750000000000114</v>
      </c>
      <c r="G7" s="18"/>
      <c r="H7" s="18"/>
      <c r="I7" s="19">
        <f>E7*50/C7</f>
        <v>0.02</v>
      </c>
      <c r="J7" s="90">
        <f>(D7-C4)/C4</f>
        <v>-0.15023326744523796</v>
      </c>
    </row>
    <row r="8" spans="1:10" ht="13" thickBot="1">
      <c r="A8" s="78"/>
      <c r="B8" s="13"/>
      <c r="C8" s="22"/>
      <c r="D8" s="23"/>
      <c r="E8" s="23"/>
      <c r="F8" s="92"/>
      <c r="G8" s="23"/>
      <c r="H8" s="10"/>
      <c r="I8" s="24"/>
      <c r="J8" s="91"/>
    </row>
    <row r="9" spans="1:10">
      <c r="A9" s="103">
        <v>2</v>
      </c>
      <c r="B9" s="81">
        <f>B7+7</f>
        <v>43072</v>
      </c>
      <c r="C9" s="17">
        <f>D7+G7-H7</f>
        <v>424.88336627738101</v>
      </c>
      <c r="D9" s="21">
        <f>C9+(C9*0.10018)</f>
        <v>467.44818191104906</v>
      </c>
      <c r="E9" s="17">
        <f>C9/3250</f>
        <v>0.13073334346996338</v>
      </c>
      <c r="F9" s="101">
        <f>(D9-C9)/E9</f>
        <v>325.58500000000015</v>
      </c>
      <c r="G9" s="18"/>
      <c r="H9" s="18"/>
      <c r="I9" s="19">
        <f>E9*50/C9</f>
        <v>1.5384615384615384E-2</v>
      </c>
      <c r="J9" s="90">
        <f>(D9-C4)/C4</f>
        <v>-6.510363617790188E-2</v>
      </c>
    </row>
    <row r="10" spans="1:10">
      <c r="A10" s="104"/>
      <c r="B10" s="81">
        <f>B9+7</f>
        <v>43079</v>
      </c>
      <c r="C10" s="17">
        <f>D9+G9-H9</f>
        <v>467.44818191104906</v>
      </c>
      <c r="D10" s="17">
        <f>C10+(C10*0.0214)</f>
        <v>477.4515730039455</v>
      </c>
      <c r="E10" s="17">
        <f>C10/3250</f>
        <v>0.14383020981878433</v>
      </c>
      <c r="F10" s="34">
        <f>(D10-C10)/E10</f>
        <v>69.549999999999898</v>
      </c>
      <c r="G10" s="18"/>
      <c r="H10" s="18"/>
      <c r="I10" s="19">
        <f>E10*50/C10</f>
        <v>1.5384615384615385E-2</v>
      </c>
      <c r="J10" s="90">
        <f>(D10-C4)/C4</f>
        <v>-4.5096853992109005E-2</v>
      </c>
    </row>
    <row r="11" spans="1:10">
      <c r="A11" s="104"/>
      <c r="B11" s="81">
        <f>B10+7</f>
        <v>43086</v>
      </c>
      <c r="C11" s="17">
        <f>D10+G10-H10</f>
        <v>477.4515730039455</v>
      </c>
      <c r="D11" s="17">
        <f>C11+(C11*0.0087)</f>
        <v>481.60540168907983</v>
      </c>
      <c r="E11" s="17">
        <f>C11/3250</f>
        <v>0.14690817630890632</v>
      </c>
      <c r="F11" s="34">
        <f>(D11-C11)/E11</f>
        <v>28.275000000000016</v>
      </c>
      <c r="G11" s="18"/>
      <c r="H11" s="18"/>
      <c r="I11" s="19">
        <f>E11*50/C11</f>
        <v>1.5384615384615385E-2</v>
      </c>
      <c r="J11" s="90">
        <f>(D11-C4)/C4</f>
        <v>-3.6789196621840346E-2</v>
      </c>
    </row>
    <row r="12" spans="1:10" ht="13" thickBot="1">
      <c r="A12" s="105"/>
      <c r="B12" s="81">
        <f>B11+7</f>
        <v>43093</v>
      </c>
      <c r="C12" s="20">
        <f>D11+G11-H11</f>
        <v>481.60540168907983</v>
      </c>
      <c r="D12" s="17">
        <f>C12+(C12*0)</f>
        <v>481.60540168907983</v>
      </c>
      <c r="E12" s="17">
        <f>C12/3250</f>
        <v>0.14818627744279378</v>
      </c>
      <c r="F12" s="94">
        <f>(D12-C12)/E12</f>
        <v>0</v>
      </c>
      <c r="G12" s="18"/>
      <c r="H12" s="18"/>
      <c r="I12" s="19">
        <f>E12*50/C12</f>
        <v>1.5384615384615384E-2</v>
      </c>
      <c r="J12" s="90">
        <f>(D12-C4)/C4</f>
        <v>-3.6789196621840346E-2</v>
      </c>
    </row>
    <row r="13" spans="1:10" ht="13" thickBot="1">
      <c r="A13" s="78"/>
      <c r="B13" s="13"/>
      <c r="C13" s="22"/>
      <c r="D13" s="23"/>
      <c r="E13" s="23"/>
      <c r="F13" s="98"/>
      <c r="G13" s="23"/>
      <c r="H13" s="10"/>
      <c r="I13" s="24"/>
      <c r="J13" s="86"/>
    </row>
    <row r="14" spans="1:10">
      <c r="A14" s="103">
        <v>3</v>
      </c>
      <c r="B14" s="81">
        <f>B12+7</f>
        <v>43100</v>
      </c>
      <c r="C14" s="20">
        <f>D12+G12-H12</f>
        <v>481.60540168907983</v>
      </c>
      <c r="D14" s="17">
        <f>C14+(C14*0)</f>
        <v>481.60540168907983</v>
      </c>
      <c r="E14" s="17">
        <f>C14/3250</f>
        <v>0.14818627744279378</v>
      </c>
      <c r="F14" s="94">
        <f>(D14-C14)/E14</f>
        <v>0</v>
      </c>
      <c r="G14" s="18"/>
      <c r="H14" s="18"/>
      <c r="I14" s="19">
        <f>E14*50/C14</f>
        <v>1.5384615384615384E-2</v>
      </c>
      <c r="J14" s="90">
        <f>(D14-C4)/C4</f>
        <v>-3.6789196621840346E-2</v>
      </c>
    </row>
    <row r="15" spans="1:10">
      <c r="A15" s="104"/>
      <c r="B15" s="81">
        <f>B14+7</f>
        <v>43107</v>
      </c>
      <c r="C15" s="17">
        <f>D14+G14-H14</f>
        <v>481.60540168907983</v>
      </c>
      <c r="D15" s="17">
        <f>C15+(C15*-0.0579)</f>
        <v>453.72044893128208</v>
      </c>
      <c r="E15" s="17">
        <f>C15/3250</f>
        <v>0.14818627744279378</v>
      </c>
      <c r="F15" s="94">
        <f>(D15-C15)/E15</f>
        <v>-188.17500000000018</v>
      </c>
      <c r="G15" s="18"/>
      <c r="H15" s="18"/>
      <c r="I15" s="19">
        <f>E15*50/C15</f>
        <v>1.5384615384615384E-2</v>
      </c>
      <c r="J15" s="90">
        <f>(D15-C4)/C4</f>
        <v>-9.2559102137435845E-2</v>
      </c>
    </row>
    <row r="16" spans="1:10">
      <c r="A16" s="104"/>
      <c r="B16" s="81">
        <f>B15+7</f>
        <v>43114</v>
      </c>
      <c r="C16" s="20">
        <f>D15+G15-H15</f>
        <v>453.72044893128208</v>
      </c>
      <c r="D16" s="99">
        <f>C16+(C16*-0.1565)</f>
        <v>382.71319867353645</v>
      </c>
      <c r="E16" s="17">
        <f>C16/3250</f>
        <v>0.13960629197885602</v>
      </c>
      <c r="F16" s="96">
        <f>(D16-C16)/E16</f>
        <v>-508.62499999999989</v>
      </c>
      <c r="G16" s="18"/>
      <c r="H16" s="18"/>
      <c r="I16" s="19">
        <f>E16*50/C16</f>
        <v>1.5384615384615384E-2</v>
      </c>
      <c r="J16" s="90">
        <f>(D16-C4)/C4</f>
        <v>-0.23457360265292709</v>
      </c>
    </row>
    <row r="17" spans="1:11" ht="13.5" thickBot="1">
      <c r="A17" s="105"/>
      <c r="B17" s="81">
        <f>B16+7</f>
        <v>43121</v>
      </c>
      <c r="C17" s="20">
        <f>D16+G16-H16</f>
        <v>382.71319867353645</v>
      </c>
      <c r="D17" s="99">
        <f>C17+(C17*-0.2248)</f>
        <v>296.67927161172543</v>
      </c>
      <c r="E17" s="17">
        <f>C17/3250</f>
        <v>0.11775790728416506</v>
      </c>
      <c r="F17" s="96">
        <f>(D17-C17)/E17</f>
        <v>-730.60000000000025</v>
      </c>
      <c r="G17" s="18"/>
      <c r="H17" s="80">
        <f>(D17-C4)*0.3</f>
        <v>-60.996218516482372</v>
      </c>
      <c r="I17" s="19">
        <f>E17*50/C17</f>
        <v>1.5384615384615385E-2</v>
      </c>
      <c r="J17" s="93">
        <f>(D17-C4)/C4</f>
        <v>-0.40664145677654917</v>
      </c>
      <c r="K17" s="102" t="s">
        <v>48</v>
      </c>
    </row>
    <row r="18" spans="1:11" ht="13" thickBot="1">
      <c r="A18" s="78"/>
      <c r="B18" s="13"/>
      <c r="C18" s="22"/>
      <c r="D18" s="23"/>
      <c r="E18" s="23"/>
      <c r="F18" s="92"/>
      <c r="G18" s="23"/>
      <c r="H18" s="10"/>
      <c r="I18" s="24"/>
      <c r="J18" s="86"/>
    </row>
    <row r="19" spans="1:11" ht="14.5">
      <c r="A19" s="103">
        <v>4</v>
      </c>
      <c r="B19" s="81">
        <f>B17+7</f>
        <v>43128</v>
      </c>
      <c r="C19" s="32">
        <f>D17+G17-H17</f>
        <v>357.6754901282078</v>
      </c>
      <c r="D19" s="17">
        <f>C19+(C19*0.03)</f>
        <v>368.40575483205401</v>
      </c>
      <c r="E19" s="17">
        <f>C19/3250</f>
        <v>0.11005399696252548</v>
      </c>
      <c r="F19" s="83">
        <f>(D19-C19)/E19</f>
        <v>97.499999999999844</v>
      </c>
      <c r="G19" s="18"/>
      <c r="H19" s="18"/>
      <c r="I19" s="19">
        <f>E19*50/C19</f>
        <v>1.5384615384615385E-2</v>
      </c>
      <c r="J19" s="85"/>
    </row>
    <row r="20" spans="1:11">
      <c r="A20" s="104"/>
      <c r="B20" s="81">
        <f>B19+7</f>
        <v>43135</v>
      </c>
      <c r="C20" s="20">
        <f>D19+G19-H19</f>
        <v>368.40575483205401</v>
      </c>
      <c r="D20" s="17">
        <f>C20+(C20*0.03)</f>
        <v>379.45792747701563</v>
      </c>
      <c r="E20" s="17">
        <f>C20/3250</f>
        <v>0.11335561687140124</v>
      </c>
      <c r="F20" s="83">
        <f>(D20-C20)/E20</f>
        <v>97.499999999999957</v>
      </c>
      <c r="G20" s="18"/>
      <c r="H20" s="18"/>
      <c r="I20" s="19">
        <f>E20*50/C20</f>
        <v>1.5384615384615384E-2</v>
      </c>
      <c r="J20" s="85"/>
    </row>
    <row r="21" spans="1:11">
      <c r="A21" s="104"/>
      <c r="B21" s="81">
        <f>B20+7</f>
        <v>43142</v>
      </c>
      <c r="C21" s="20">
        <f>D20+G20-H20</f>
        <v>379.45792747701563</v>
      </c>
      <c r="D21" s="17">
        <f>C21+(C21*0.03)</f>
        <v>390.84166530132609</v>
      </c>
      <c r="E21" s="17">
        <f>C21/3250</f>
        <v>0.11675628537754328</v>
      </c>
      <c r="F21" s="83">
        <f>(D21-C21)/E21</f>
        <v>97.499999999999901</v>
      </c>
      <c r="G21" s="18"/>
      <c r="H21" s="18"/>
      <c r="I21" s="19">
        <f>E21*50/C21</f>
        <v>1.5384615384615385E-2</v>
      </c>
      <c r="J21" s="85"/>
    </row>
    <row r="22" spans="1:11" ht="13" thickBot="1">
      <c r="A22" s="105"/>
      <c r="B22" s="81">
        <f>B21+7</f>
        <v>43149</v>
      </c>
      <c r="C22" s="20">
        <f>D21+G21-H21</f>
        <v>390.84166530132609</v>
      </c>
      <c r="D22" s="17">
        <f>C22+(C22*0.03)</f>
        <v>402.56691526036587</v>
      </c>
      <c r="E22" s="17">
        <f>C22/3250</f>
        <v>0.12025897393886957</v>
      </c>
      <c r="F22" s="83">
        <f>(D22-C22)/E22</f>
        <v>97.500000000000028</v>
      </c>
      <c r="G22" s="18"/>
      <c r="H22" s="18"/>
      <c r="I22" s="19">
        <f>E22*50/C22</f>
        <v>1.5384615384615385E-2</v>
      </c>
      <c r="J22" s="85"/>
    </row>
    <row r="23" spans="1:11" ht="13" thickBot="1">
      <c r="A23" s="78"/>
      <c r="B23" s="13"/>
      <c r="C23" s="22"/>
      <c r="D23" s="23"/>
      <c r="E23" s="23"/>
      <c r="F23" s="27"/>
      <c r="G23" s="23"/>
      <c r="H23" s="10"/>
      <c r="I23" s="24"/>
      <c r="J23" s="86"/>
    </row>
    <row r="24" spans="1:11">
      <c r="A24" s="103">
        <v>5</v>
      </c>
      <c r="B24" s="81">
        <f>B22+7</f>
        <v>43156</v>
      </c>
      <c r="C24" s="20">
        <f>D22+G22-H22</f>
        <v>402.56691526036587</v>
      </c>
      <c r="D24" s="17">
        <f>C24+(C24*0.03)</f>
        <v>414.64392271817684</v>
      </c>
      <c r="E24" s="17">
        <f>C24/3250</f>
        <v>0.12386674315703565</v>
      </c>
      <c r="F24" s="28">
        <f>(D24-C24)/E24</f>
        <v>97.499999999999901</v>
      </c>
      <c r="G24" s="18"/>
      <c r="H24" s="18"/>
      <c r="I24" s="19">
        <f>E24*50/C24</f>
        <v>1.5384615384615385E-2</v>
      </c>
      <c r="J24" s="85"/>
    </row>
    <row r="25" spans="1:11">
      <c r="A25" s="104"/>
      <c r="B25" s="81">
        <f>B24+7</f>
        <v>43163</v>
      </c>
      <c r="C25" s="20">
        <f>D24+G24-H24</f>
        <v>414.64392271817684</v>
      </c>
      <c r="D25" s="17">
        <f>C25+(C25*0.03)</f>
        <v>427.08324039972217</v>
      </c>
      <c r="E25" s="17">
        <f>C25/3250</f>
        <v>0.12758274545174672</v>
      </c>
      <c r="F25" s="28">
        <f>(D25-C25)/E25</f>
        <v>97.500000000000213</v>
      </c>
      <c r="G25" s="18"/>
      <c r="H25" s="18"/>
      <c r="I25" s="19">
        <f>E25*50/C25</f>
        <v>1.5384615384615384E-2</v>
      </c>
      <c r="J25" s="85"/>
    </row>
    <row r="26" spans="1:11">
      <c r="A26" s="104"/>
      <c r="B26" s="81">
        <f>B25+7</f>
        <v>43170</v>
      </c>
      <c r="C26" s="20">
        <f>D25+G25-H25</f>
        <v>427.08324039972217</v>
      </c>
      <c r="D26" s="17">
        <f>C26+(C26*0.03)</f>
        <v>439.89573761171386</v>
      </c>
      <c r="E26" s="17">
        <f>C26/3250</f>
        <v>0.13141022781529912</v>
      </c>
      <c r="F26" s="28">
        <f>(D26-C26)/E26</f>
        <v>97.500000000000142</v>
      </c>
      <c r="G26" s="18"/>
      <c r="H26" s="18"/>
      <c r="I26" s="19">
        <f>E26*50/C26</f>
        <v>1.5384615384615384E-2</v>
      </c>
      <c r="J26" s="85"/>
    </row>
    <row r="27" spans="1:11" ht="13" thickBot="1">
      <c r="A27" s="105"/>
      <c r="B27" s="81">
        <f>B26+7</f>
        <v>43177</v>
      </c>
      <c r="C27" s="20">
        <f>D26+G26-H26</f>
        <v>439.89573761171386</v>
      </c>
      <c r="D27" s="17">
        <f>C27+(C27*0.03)</f>
        <v>453.09260974006526</v>
      </c>
      <c r="E27" s="17">
        <f>C27/3250</f>
        <v>0.13535253464975811</v>
      </c>
      <c r="F27" s="28">
        <f>(D27-C27)/E27</f>
        <v>97.499999999999901</v>
      </c>
      <c r="G27" s="18"/>
      <c r="H27" s="18"/>
      <c r="I27" s="19">
        <f>E27*50/C27</f>
        <v>1.5384615384615384E-2</v>
      </c>
      <c r="J27" s="85"/>
    </row>
    <row r="28" spans="1:11" ht="13" thickBot="1">
      <c r="A28" s="78"/>
      <c r="B28" s="13"/>
      <c r="C28" s="22"/>
      <c r="D28" s="23"/>
      <c r="E28" s="23"/>
      <c r="F28" s="27"/>
      <c r="G28" s="23"/>
      <c r="H28" s="10"/>
      <c r="I28" s="24"/>
      <c r="J28" s="86"/>
    </row>
    <row r="29" spans="1:11">
      <c r="A29" s="103">
        <v>6</v>
      </c>
      <c r="B29" s="81">
        <f>B27+7</f>
        <v>43184</v>
      </c>
      <c r="C29" s="20">
        <f>D27+G27-H27</f>
        <v>453.09260974006526</v>
      </c>
      <c r="D29" s="17">
        <f>C29+(C29*0.03)</f>
        <v>466.68538803226721</v>
      </c>
      <c r="E29" s="17">
        <f>C29/3250</f>
        <v>0.13941311068925086</v>
      </c>
      <c r="F29" s="28">
        <f>(D29-C29)/E29</f>
        <v>97.499999999999986</v>
      </c>
      <c r="G29" s="18"/>
      <c r="H29" s="18"/>
      <c r="I29" s="19">
        <f>E29*50/C29</f>
        <v>1.5384615384615385E-2</v>
      </c>
      <c r="J29" s="85"/>
    </row>
    <row r="30" spans="1:11">
      <c r="A30" s="104"/>
      <c r="B30" s="81">
        <f>B29+7</f>
        <v>43191</v>
      </c>
      <c r="C30" s="20">
        <f>D29+G29-H29</f>
        <v>466.68538803226721</v>
      </c>
      <c r="D30" s="17">
        <f>C30+(C30*0.03)</f>
        <v>480.6859496732352</v>
      </c>
      <c r="E30" s="17">
        <f>C30/3250</f>
        <v>0.14359550400992838</v>
      </c>
      <c r="F30" s="28">
        <f>(D30-C30)/E30</f>
        <v>97.499999999999801</v>
      </c>
      <c r="G30" s="18"/>
      <c r="H30" s="18"/>
      <c r="I30" s="19">
        <f>E30*50/C30</f>
        <v>1.5384615384615385E-2</v>
      </c>
      <c r="J30" s="85"/>
    </row>
    <row r="31" spans="1:11">
      <c r="A31" s="104"/>
      <c r="B31" s="81">
        <f>B30+7</f>
        <v>43198</v>
      </c>
      <c r="C31" s="20">
        <f>D30+G30-H30</f>
        <v>480.6859496732352</v>
      </c>
      <c r="D31" s="17">
        <f>C31+(C31*0.03)</f>
        <v>495.10652816343224</v>
      </c>
      <c r="E31" s="17">
        <f>C31/3250</f>
        <v>0.14790336913022623</v>
      </c>
      <c r="F31" s="28">
        <f>(D31-C31)/E31</f>
        <v>97.499999999999915</v>
      </c>
      <c r="G31" s="18"/>
      <c r="H31" s="18"/>
      <c r="I31" s="19">
        <f>E31*50/C31</f>
        <v>1.5384615384615385E-2</v>
      </c>
      <c r="J31" s="85"/>
    </row>
    <row r="32" spans="1:11" ht="13.5" thickBot="1">
      <c r="A32" s="105"/>
      <c r="B32" s="81">
        <f>B31+7</f>
        <v>43205</v>
      </c>
      <c r="C32" s="20">
        <f>D31+G31-H31</f>
        <v>495.10652816343224</v>
      </c>
      <c r="D32" s="17">
        <f>C32+(C32*0.03)</f>
        <v>509.95972400833523</v>
      </c>
      <c r="E32" s="17">
        <f>C32/3250</f>
        <v>0.15234047020413299</v>
      </c>
      <c r="F32" s="28">
        <f>(D32-C32)/E32</f>
        <v>97.500000000000114</v>
      </c>
      <c r="G32" s="18"/>
      <c r="H32" s="80">
        <f>(D32-C19)*0.35</f>
        <v>53.299481858044601</v>
      </c>
      <c r="I32" s="19">
        <f>E32*50/C32</f>
        <v>1.5384615384615385E-2</v>
      </c>
      <c r="J32" s="85"/>
      <c r="K32" s="102" t="s">
        <v>49</v>
      </c>
    </row>
    <row r="33" spans="1:11" ht="13" thickBot="1">
      <c r="A33" s="78"/>
      <c r="B33" s="13"/>
      <c r="C33" s="22"/>
      <c r="D33" s="23"/>
      <c r="E33" s="23"/>
      <c r="F33" s="27"/>
      <c r="G33" s="23"/>
      <c r="H33" s="10"/>
      <c r="I33" s="24"/>
      <c r="J33" s="86"/>
    </row>
    <row r="34" spans="1:11">
      <c r="A34" s="103">
        <v>7</v>
      </c>
      <c r="B34" s="81">
        <f>B32+7</f>
        <v>43212</v>
      </c>
      <c r="C34" s="20">
        <f>D32+G32-H32</f>
        <v>456.66024215029063</v>
      </c>
      <c r="D34" s="17">
        <f>C34+(C34*0.03)</f>
        <v>470.36004941479933</v>
      </c>
      <c r="E34" s="17">
        <f>C34/3250</f>
        <v>0.14051084373855097</v>
      </c>
      <c r="F34" s="28">
        <f>(D34-C34)/E34</f>
        <v>97.499999999999915</v>
      </c>
      <c r="G34" s="18"/>
      <c r="H34" s="18"/>
      <c r="I34" s="19">
        <f>E34*50/C34</f>
        <v>1.5384615384615385E-2</v>
      </c>
      <c r="J34" s="85"/>
    </row>
    <row r="35" spans="1:11">
      <c r="A35" s="104"/>
      <c r="B35" s="81">
        <f>B34+7</f>
        <v>43219</v>
      </c>
      <c r="C35" s="20">
        <f>D34+G34-H34</f>
        <v>470.36004941479933</v>
      </c>
      <c r="D35" s="17">
        <f>C35+(C35*0.03)</f>
        <v>484.47085089724334</v>
      </c>
      <c r="E35" s="17">
        <f>C35/3250</f>
        <v>0.14472616905070748</v>
      </c>
      <c r="F35" s="28">
        <f>(D35-C35)/E35</f>
        <v>97.500000000000171</v>
      </c>
      <c r="G35" s="18"/>
      <c r="H35" s="18"/>
      <c r="I35" s="19">
        <f>E35*50/C35</f>
        <v>1.5384615384615384E-2</v>
      </c>
      <c r="J35" s="85"/>
    </row>
    <row r="36" spans="1:11">
      <c r="A36" s="104"/>
      <c r="B36" s="81">
        <f>B35+7</f>
        <v>43226</v>
      </c>
      <c r="C36" s="20">
        <f>D35+G35-H35</f>
        <v>484.47085089724334</v>
      </c>
      <c r="D36" s="17">
        <f>C36+(C36*0.03)</f>
        <v>499.00497642416065</v>
      </c>
      <c r="E36" s="17">
        <f>C36/3250</f>
        <v>0.14906795412222873</v>
      </c>
      <c r="F36" s="28">
        <f>(D36-C36)/E36</f>
        <v>97.500000000000043</v>
      </c>
      <c r="G36" s="18"/>
      <c r="H36" s="18"/>
      <c r="I36" s="19">
        <f>E36*50/C36</f>
        <v>1.5384615384615385E-2</v>
      </c>
      <c r="J36" s="85"/>
    </row>
    <row r="37" spans="1:11" ht="13" thickBot="1">
      <c r="A37" s="105"/>
      <c r="B37" s="81">
        <f>B36+7</f>
        <v>43233</v>
      </c>
      <c r="C37" s="20">
        <f>D36+G36-H36</f>
        <v>499.00497642416065</v>
      </c>
      <c r="D37" s="17">
        <f>C37+(C37*0.03)</f>
        <v>513.97512571688549</v>
      </c>
      <c r="E37" s="17">
        <f>C37/3250</f>
        <v>0.15353999274589558</v>
      </c>
      <c r="F37" s="28">
        <f>(D37-C37)/E37</f>
        <v>97.500000000000142</v>
      </c>
      <c r="G37" s="80"/>
      <c r="H37" s="80"/>
      <c r="I37" s="19">
        <f>E37*50/C37</f>
        <v>1.5384615384615384E-2</v>
      </c>
      <c r="J37" s="85"/>
    </row>
    <row r="38" spans="1:11" ht="13" thickBot="1">
      <c r="A38" s="78"/>
      <c r="B38" s="13"/>
      <c r="C38" s="22"/>
      <c r="D38" s="23"/>
      <c r="E38" s="23"/>
      <c r="F38" s="27"/>
      <c r="G38" s="23"/>
      <c r="H38" s="10"/>
      <c r="I38" s="24"/>
      <c r="J38" s="86"/>
    </row>
    <row r="39" spans="1:11">
      <c r="A39" s="103">
        <v>8</v>
      </c>
      <c r="B39" s="81">
        <f>B37+7</f>
        <v>43240</v>
      </c>
      <c r="C39" s="20">
        <f>D37+G37-H37</f>
        <v>513.97512571688549</v>
      </c>
      <c r="D39" s="17">
        <f>C39+(C39*0.03)</f>
        <v>529.39437948839202</v>
      </c>
      <c r="E39" s="17">
        <f>C39/3250</f>
        <v>0.15814619252827244</v>
      </c>
      <c r="F39" s="28">
        <f>(D39-C39)/E39</f>
        <v>97.499999999999801</v>
      </c>
      <c r="G39" s="18"/>
      <c r="H39" s="18"/>
      <c r="I39" s="19">
        <f>E39*50/C39</f>
        <v>1.5384615384615384E-2</v>
      </c>
      <c r="J39" s="85"/>
    </row>
    <row r="40" spans="1:11">
      <c r="A40" s="104"/>
      <c r="B40" s="81">
        <f>B39+7</f>
        <v>43247</v>
      </c>
      <c r="C40" s="20">
        <f>D39+G39-H39</f>
        <v>529.39437948839202</v>
      </c>
      <c r="D40" s="17">
        <f>C40+(C40*0.03)</f>
        <v>545.27621087304374</v>
      </c>
      <c r="E40" s="17">
        <f>C40/3250</f>
        <v>0.16289057830412063</v>
      </c>
      <c r="F40" s="28">
        <f>(D40-C40)/E40</f>
        <v>97.499999999999744</v>
      </c>
      <c r="G40" s="18"/>
      <c r="H40" s="18"/>
      <c r="I40" s="19">
        <f>E40*50/C40</f>
        <v>1.5384615384615385E-2</v>
      </c>
      <c r="J40" s="85"/>
    </row>
    <row r="41" spans="1:11">
      <c r="A41" s="104"/>
      <c r="B41" s="81">
        <f>B40+7</f>
        <v>43254</v>
      </c>
      <c r="C41" s="20">
        <f>D40+G40-H40</f>
        <v>545.27621087304374</v>
      </c>
      <c r="D41" s="17">
        <f>C41+(C41*0.03)</f>
        <v>561.63449719923506</v>
      </c>
      <c r="E41" s="17">
        <f>C41/3250</f>
        <v>0.16777729565324423</v>
      </c>
      <c r="F41" s="28">
        <f>(D41-C41)/E41</f>
        <v>97.500000000000043</v>
      </c>
      <c r="G41" s="18"/>
      <c r="H41" s="18"/>
      <c r="I41" s="19">
        <f>E41*50/C41</f>
        <v>1.5384615384615385E-2</v>
      </c>
      <c r="J41" s="85"/>
    </row>
    <row r="42" spans="1:11" ht="13" thickBot="1">
      <c r="A42" s="105"/>
      <c r="B42" s="81">
        <f>B41+7</f>
        <v>43261</v>
      </c>
      <c r="C42" s="20">
        <f>D41+G41-H41</f>
        <v>561.63449719923506</v>
      </c>
      <c r="D42" s="17">
        <f>C42+(C42*0.03)</f>
        <v>578.48353211521214</v>
      </c>
      <c r="E42" s="17">
        <f>C42/3250</f>
        <v>0.17281061452284155</v>
      </c>
      <c r="F42" s="28">
        <f>(D42-C42)/E42</f>
        <v>97.500000000000199</v>
      </c>
      <c r="G42" s="80"/>
      <c r="H42" s="80"/>
      <c r="I42" s="19">
        <f>E42*50/C42</f>
        <v>1.5384615384615385E-2</v>
      </c>
      <c r="J42" s="85"/>
    </row>
    <row r="43" spans="1:11" ht="13" thickBot="1">
      <c r="A43" s="78"/>
      <c r="B43" s="13"/>
      <c r="C43" s="22"/>
      <c r="D43" s="23"/>
      <c r="E43" s="23"/>
      <c r="F43" s="27"/>
      <c r="G43" s="23"/>
      <c r="H43" s="10"/>
      <c r="I43" s="24"/>
      <c r="J43" s="86"/>
    </row>
    <row r="44" spans="1:11">
      <c r="A44" s="103">
        <v>9</v>
      </c>
      <c r="B44" s="81">
        <f>B42+7</f>
        <v>43268</v>
      </c>
      <c r="C44" s="20">
        <f>D42+G42-H42</f>
        <v>578.48353211521214</v>
      </c>
      <c r="D44" s="17">
        <f>C44+(C44*0.03)</f>
        <v>595.83803807866855</v>
      </c>
      <c r="E44" s="17">
        <f>C44/3250</f>
        <v>0.17799493295852681</v>
      </c>
      <c r="F44" s="28">
        <f>(D44-C44)/E44</f>
        <v>97.500000000000227</v>
      </c>
      <c r="G44" s="18"/>
      <c r="H44" s="18"/>
      <c r="I44" s="19">
        <f>E44*50/C44</f>
        <v>1.5384615384615384E-2</v>
      </c>
      <c r="J44" s="85"/>
    </row>
    <row r="45" spans="1:11">
      <c r="A45" s="104"/>
      <c r="B45" s="81">
        <f>B44+7</f>
        <v>43275</v>
      </c>
      <c r="C45" s="20">
        <f>D44+G44-H44</f>
        <v>595.83803807866855</v>
      </c>
      <c r="D45" s="17">
        <f>C45+(C45*0.03)</f>
        <v>613.71317922102855</v>
      </c>
      <c r="E45" s="17">
        <f>C45/3250</f>
        <v>0.18333478094728262</v>
      </c>
      <c r="F45" s="28">
        <f>(D45-C45)/E45</f>
        <v>97.499999999999744</v>
      </c>
      <c r="G45" s="18"/>
      <c r="H45" s="18"/>
      <c r="I45" s="19">
        <f>E45*50/C45</f>
        <v>1.5384615384615382E-2</v>
      </c>
      <c r="J45" s="85"/>
    </row>
    <row r="46" spans="1:11">
      <c r="A46" s="104"/>
      <c r="B46" s="81">
        <f>B45+7</f>
        <v>43282</v>
      </c>
      <c r="C46" s="20">
        <f>D45+G45-H45</f>
        <v>613.71317922102855</v>
      </c>
      <c r="D46" s="17">
        <f>C46+(C46*0.03)</f>
        <v>632.12457459765938</v>
      </c>
      <c r="E46" s="17">
        <f>C46/3250</f>
        <v>0.18883482437570109</v>
      </c>
      <c r="F46" s="28">
        <f>(D46-C46)/E46</f>
        <v>97.499999999999815</v>
      </c>
      <c r="G46" s="18"/>
      <c r="H46" s="18"/>
      <c r="I46" s="19">
        <f>E46*50/C46</f>
        <v>1.5384615384615384E-2</v>
      </c>
      <c r="J46" s="85"/>
    </row>
    <row r="47" spans="1:11" ht="13.5" thickBot="1">
      <c r="A47" s="105"/>
      <c r="B47" s="81">
        <f>B46+7</f>
        <v>43289</v>
      </c>
      <c r="C47" s="20">
        <f>D46+G46-H46</f>
        <v>632.12457459765938</v>
      </c>
      <c r="D47" s="17">
        <f>C47+(C47*0.03)</f>
        <v>651.08831183558914</v>
      </c>
      <c r="E47" s="17">
        <f>C47/3250</f>
        <v>0.19449986910697212</v>
      </c>
      <c r="F47" s="28">
        <f>(D47-C47)/E47</f>
        <v>97.499999999999901</v>
      </c>
      <c r="G47" s="80"/>
      <c r="H47" s="80">
        <f>(D47-C34)*0.35</f>
        <v>68.049824389854479</v>
      </c>
      <c r="I47" s="19">
        <f>E47*50/C47</f>
        <v>1.5384615384615385E-2</v>
      </c>
      <c r="J47" s="85"/>
      <c r="K47" s="102" t="s">
        <v>49</v>
      </c>
    </row>
    <row r="48" spans="1:11" ht="13" thickBot="1">
      <c r="A48" s="78"/>
      <c r="B48" s="13"/>
      <c r="C48" s="22"/>
      <c r="D48" s="23"/>
      <c r="E48" s="23"/>
      <c r="F48" s="27"/>
      <c r="G48" s="23"/>
      <c r="H48" s="10"/>
      <c r="I48" s="24"/>
      <c r="J48" s="86"/>
    </row>
    <row r="49" spans="1:11">
      <c r="A49" s="103">
        <v>10</v>
      </c>
      <c r="B49" s="81">
        <f>B47+7</f>
        <v>43296</v>
      </c>
      <c r="C49" s="20">
        <f>D47+G47-H47</f>
        <v>583.03848744573463</v>
      </c>
      <c r="D49" s="17">
        <f>C49+(C49*0.03)</f>
        <v>600.52964206910667</v>
      </c>
      <c r="E49" s="17">
        <f>C49/3250</f>
        <v>0.17939645767561066</v>
      </c>
      <c r="F49" s="28">
        <f>(D49-C49)/E49</f>
        <v>97.5</v>
      </c>
      <c r="G49" s="18"/>
      <c r="H49" s="18"/>
      <c r="I49" s="19">
        <f>E49*50/C49</f>
        <v>1.5384615384615387E-2</v>
      </c>
      <c r="J49" s="85"/>
    </row>
    <row r="50" spans="1:11">
      <c r="A50" s="104"/>
      <c r="B50" s="81">
        <f>B49+7</f>
        <v>43303</v>
      </c>
      <c r="C50" s="20">
        <f>D49+G49-H49</f>
        <v>600.52964206910667</v>
      </c>
      <c r="D50" s="17">
        <f>C50+(C50*0.03)</f>
        <v>618.54553133117986</v>
      </c>
      <c r="E50" s="17">
        <f>C50/3250</f>
        <v>0.18477835140587898</v>
      </c>
      <c r="F50" s="28">
        <f>(D50-C50)/E50</f>
        <v>97.499999999999929</v>
      </c>
      <c r="G50" s="18"/>
      <c r="H50" s="18"/>
      <c r="I50" s="19">
        <f>E50*50/C50</f>
        <v>1.5384615384615385E-2</v>
      </c>
      <c r="J50" s="85"/>
    </row>
    <row r="51" spans="1:11">
      <c r="A51" s="104"/>
      <c r="B51" s="81">
        <f>B50+7</f>
        <v>43310</v>
      </c>
      <c r="C51" s="20">
        <f>D50+G50-H50</f>
        <v>618.54553133117986</v>
      </c>
      <c r="D51" s="17">
        <f>C51+(C51*0.03)</f>
        <v>637.10189727111526</v>
      </c>
      <c r="E51" s="17">
        <f>C51/3250</f>
        <v>0.19032170194805534</v>
      </c>
      <c r="F51" s="28">
        <f>(D51-C51)/E51</f>
        <v>97.500000000000043</v>
      </c>
      <c r="G51" s="18"/>
      <c r="H51" s="18"/>
      <c r="I51" s="19">
        <f>E51*50/C51</f>
        <v>1.5384615384615385E-2</v>
      </c>
      <c r="J51" s="85"/>
    </row>
    <row r="52" spans="1:11" ht="13" thickBot="1">
      <c r="A52" s="105"/>
      <c r="B52" s="81">
        <f>B51+7</f>
        <v>43317</v>
      </c>
      <c r="C52" s="20">
        <f>D51+G51-H51</f>
        <v>637.10189727111526</v>
      </c>
      <c r="D52" s="17">
        <f>C52+(C52*0.03)</f>
        <v>656.21495418924872</v>
      </c>
      <c r="E52" s="17">
        <f>C52/3250</f>
        <v>0.19603135300649702</v>
      </c>
      <c r="F52" s="28">
        <f>(D52-C52)/E52</f>
        <v>97.499999999999972</v>
      </c>
      <c r="G52" s="80"/>
      <c r="H52" s="80"/>
      <c r="I52" s="19">
        <f>E52*50/C52</f>
        <v>1.5384615384615385E-2</v>
      </c>
      <c r="J52" s="85"/>
    </row>
    <row r="53" spans="1:11" ht="13" thickBot="1">
      <c r="A53" s="78"/>
      <c r="B53" s="13"/>
      <c r="C53" s="22"/>
      <c r="D53" s="23"/>
      <c r="E53" s="23"/>
      <c r="F53" s="27"/>
      <c r="G53" s="23"/>
      <c r="H53" s="10"/>
      <c r="I53" s="24"/>
      <c r="J53" s="86"/>
    </row>
    <row r="54" spans="1:11">
      <c r="A54" s="103">
        <v>11</v>
      </c>
      <c r="B54" s="81">
        <f>B52+7</f>
        <v>43324</v>
      </c>
      <c r="C54" s="20">
        <f>D52+G52-H52</f>
        <v>656.21495418924872</v>
      </c>
      <c r="D54" s="17">
        <f>C54+(C54*0.03)</f>
        <v>675.9014028149262</v>
      </c>
      <c r="E54" s="17">
        <f>C54/3250</f>
        <v>0.20191229359669191</v>
      </c>
      <c r="F54" s="28">
        <f>(D54-C54)/E54</f>
        <v>97.500000000000114</v>
      </c>
      <c r="G54" s="18"/>
      <c r="H54" s="18"/>
      <c r="I54" s="19">
        <f>E54*50/C54</f>
        <v>1.5384615384615384E-2</v>
      </c>
      <c r="J54" s="85"/>
    </row>
    <row r="55" spans="1:11">
      <c r="A55" s="104"/>
      <c r="B55" s="81">
        <f>B54+7</f>
        <v>43331</v>
      </c>
      <c r="C55" s="20">
        <f>D54+G54-H54</f>
        <v>675.9014028149262</v>
      </c>
      <c r="D55" s="17">
        <f>C55+(C55*0.03)</f>
        <v>696.17844489937397</v>
      </c>
      <c r="E55" s="17">
        <f>C55/3250</f>
        <v>0.20796966240459266</v>
      </c>
      <c r="F55" s="28">
        <f>(D55-C55)/E55</f>
        <v>97.499999999999929</v>
      </c>
      <c r="G55" s="18"/>
      <c r="H55" s="18"/>
      <c r="I55" s="19">
        <f>E55*50/C55</f>
        <v>1.5384615384615384E-2</v>
      </c>
      <c r="J55" s="85"/>
    </row>
    <row r="56" spans="1:11">
      <c r="A56" s="104"/>
      <c r="B56" s="81">
        <f>B55+7</f>
        <v>43338</v>
      </c>
      <c r="C56" s="20">
        <f>D55+G55-H55</f>
        <v>696.17844489937397</v>
      </c>
      <c r="D56" s="17">
        <f>C56+(C56*0.03)</f>
        <v>717.06379824635519</v>
      </c>
      <c r="E56" s="17">
        <f>C56/3250</f>
        <v>0.21420875227673045</v>
      </c>
      <c r="F56" s="28">
        <f>(D56-C56)/E56</f>
        <v>97.5</v>
      </c>
      <c r="G56" s="18"/>
      <c r="H56" s="18"/>
      <c r="I56" s="19">
        <f>E56*50/C56</f>
        <v>1.5384615384615384E-2</v>
      </c>
      <c r="J56" s="85"/>
    </row>
    <row r="57" spans="1:11" ht="13" thickBot="1">
      <c r="A57" s="105"/>
      <c r="B57" s="81">
        <f>B56+7</f>
        <v>43345</v>
      </c>
      <c r="C57" s="20">
        <f>D56+G56-H56</f>
        <v>717.06379824635519</v>
      </c>
      <c r="D57" s="17">
        <f>C57+(C57*0.03)</f>
        <v>738.57571219374586</v>
      </c>
      <c r="E57" s="17">
        <f>C57/3250</f>
        <v>0.22063501484503237</v>
      </c>
      <c r="F57" s="28">
        <f>(D57-C57)/E57</f>
        <v>97.500000000000057</v>
      </c>
      <c r="G57" s="80"/>
      <c r="H57" s="80"/>
      <c r="I57" s="19">
        <f>E57*50/C57</f>
        <v>1.5384615384615385E-2</v>
      </c>
      <c r="J57" s="85"/>
    </row>
    <row r="58" spans="1:11" ht="13" thickBot="1">
      <c r="A58" s="78"/>
      <c r="B58" s="13"/>
      <c r="C58" s="22"/>
      <c r="D58" s="23"/>
      <c r="E58" s="23"/>
      <c r="F58" s="27"/>
      <c r="G58" s="23"/>
      <c r="H58" s="10"/>
      <c r="I58" s="24"/>
      <c r="J58" s="86"/>
    </row>
    <row r="59" spans="1:11">
      <c r="A59" s="103">
        <v>12</v>
      </c>
      <c r="B59" s="81">
        <f>B57+7</f>
        <v>43352</v>
      </c>
      <c r="C59" s="20">
        <f>D57+G57-H57</f>
        <v>738.57571219374586</v>
      </c>
      <c r="D59" s="17">
        <f>C59+(C59*0.03)</f>
        <v>760.73298355955819</v>
      </c>
      <c r="E59" s="17">
        <f>C59/3250</f>
        <v>0.22725406529038333</v>
      </c>
      <c r="F59" s="28">
        <f>(D59-C59)/E59</f>
        <v>97.499999999999829</v>
      </c>
      <c r="G59" s="18"/>
      <c r="H59" s="18"/>
      <c r="I59" s="19">
        <f>E59*50/C59</f>
        <v>1.5384615384615385E-2</v>
      </c>
      <c r="J59" s="85"/>
    </row>
    <row r="60" spans="1:11">
      <c r="A60" s="104"/>
      <c r="B60" s="81">
        <f>B59+7</f>
        <v>43359</v>
      </c>
      <c r="C60" s="20">
        <f>D59+G59-H59</f>
        <v>760.73298355955819</v>
      </c>
      <c r="D60" s="17">
        <f>C60+(C60*0.03)</f>
        <v>783.55497306634493</v>
      </c>
      <c r="E60" s="17">
        <f>C60/3250</f>
        <v>0.23407168724909483</v>
      </c>
      <c r="F60" s="28">
        <f>(D60-C60)/E60</f>
        <v>97.499999999999957</v>
      </c>
      <c r="G60" s="18"/>
      <c r="H60" s="18"/>
      <c r="I60" s="19">
        <f>E60*50/C60</f>
        <v>1.5384615384615384E-2</v>
      </c>
      <c r="J60" s="85"/>
    </row>
    <row r="61" spans="1:11">
      <c r="A61" s="104"/>
      <c r="B61" s="81">
        <f>B60+7</f>
        <v>43366</v>
      </c>
      <c r="C61" s="20">
        <f>D60+G60-H60</f>
        <v>783.55497306634493</v>
      </c>
      <c r="D61" s="17">
        <f>C61+(C61*0.03)</f>
        <v>807.06162225833532</v>
      </c>
      <c r="E61" s="17">
        <f>C61/3250</f>
        <v>0.24109383786656768</v>
      </c>
      <c r="F61" s="28">
        <f>(D61-C61)/E61</f>
        <v>97.500000000000171</v>
      </c>
      <c r="G61" s="18"/>
      <c r="H61" s="18"/>
      <c r="I61" s="19">
        <f>E61*50/C61</f>
        <v>1.5384615384615385E-2</v>
      </c>
      <c r="J61" s="85"/>
    </row>
    <row r="62" spans="1:11" ht="13.5" thickBot="1">
      <c r="A62" s="105"/>
      <c r="B62" s="81">
        <f>B61+7</f>
        <v>43373</v>
      </c>
      <c r="C62" s="20">
        <f>D61+G61-H61</f>
        <v>807.06162225833532</v>
      </c>
      <c r="D62" s="17">
        <f>C62+(C62*0.03)</f>
        <v>831.27347092608534</v>
      </c>
      <c r="E62" s="17">
        <f>C62/3250</f>
        <v>0.24832665300256471</v>
      </c>
      <c r="F62" s="28">
        <f>(D62-C62)/E62</f>
        <v>97.499999999999844</v>
      </c>
      <c r="G62" s="80"/>
      <c r="H62" s="80">
        <f>(D62-C49)*0.35</f>
        <v>86.882244218122736</v>
      </c>
      <c r="I62" s="19">
        <f>E62*50/C62</f>
        <v>1.5384615384615384E-2</v>
      </c>
      <c r="J62" s="85"/>
      <c r="K62" s="102" t="s">
        <v>49</v>
      </c>
    </row>
    <row r="63" spans="1:11" ht="13" thickBot="1">
      <c r="A63" s="78"/>
      <c r="B63" s="13"/>
      <c r="C63" s="22"/>
      <c r="D63" s="23"/>
      <c r="E63" s="23"/>
      <c r="F63" s="27"/>
      <c r="G63" s="23"/>
      <c r="H63" s="10"/>
      <c r="I63" s="24"/>
      <c r="J63" s="86"/>
    </row>
    <row r="64" spans="1:11">
      <c r="A64" s="103">
        <v>13</v>
      </c>
      <c r="B64" s="81">
        <f>B62+7</f>
        <v>43380</v>
      </c>
      <c r="C64" s="20">
        <f>D62+G62-H62</f>
        <v>744.39122670796257</v>
      </c>
      <c r="D64" s="17">
        <f>C64+(C64*0.03)</f>
        <v>766.72296350920146</v>
      </c>
      <c r="E64" s="17">
        <f>C64/3250</f>
        <v>0.2290434543716808</v>
      </c>
      <c r="F64" s="28">
        <f>(D64-C64)/E64</f>
        <v>97.500000000000043</v>
      </c>
      <c r="G64" s="17"/>
      <c r="H64" s="79"/>
      <c r="I64" s="19">
        <f>E64*50/C64</f>
        <v>1.5384615384615384E-2</v>
      </c>
      <c r="J64" s="85"/>
    </row>
    <row r="65" spans="1:11">
      <c r="A65" s="104"/>
      <c r="B65" s="81">
        <f>B64+7</f>
        <v>43387</v>
      </c>
      <c r="C65" s="20">
        <f>D64+G64-H64</f>
        <v>766.72296350920146</v>
      </c>
      <c r="D65" s="17">
        <f>C65+(C65*0.03)</f>
        <v>789.72465241447753</v>
      </c>
      <c r="E65" s="17">
        <f>C65/3250</f>
        <v>0.23591475800283121</v>
      </c>
      <c r="F65" s="28">
        <f>(D65-C65)/E65</f>
        <v>97.500000000000114</v>
      </c>
      <c r="G65" s="17"/>
      <c r="H65" s="79"/>
      <c r="I65" s="19">
        <f>E65*50/C65</f>
        <v>1.5384615384615384E-2</v>
      </c>
      <c r="J65" s="85"/>
    </row>
    <row r="66" spans="1:11">
      <c r="A66" s="104"/>
      <c r="B66" s="81">
        <f>B65+7</f>
        <v>43394</v>
      </c>
      <c r="C66" s="20">
        <f>D65+G65-H65</f>
        <v>789.72465241447753</v>
      </c>
      <c r="D66" s="17">
        <f>C66+(C66*0.03)</f>
        <v>813.41639198691189</v>
      </c>
      <c r="E66" s="17">
        <f>C66/3250</f>
        <v>0.24299220074291616</v>
      </c>
      <c r="F66" s="28">
        <f>(D66-C66)/E66</f>
        <v>97.500000000000128</v>
      </c>
      <c r="G66" s="17"/>
      <c r="H66" s="79"/>
      <c r="I66" s="19">
        <f>E66*50/C66</f>
        <v>1.5384615384615385E-2</v>
      </c>
      <c r="J66" s="85"/>
    </row>
    <row r="67" spans="1:11" ht="13" thickBot="1">
      <c r="A67" s="105"/>
      <c r="B67" s="81">
        <f>B66+7</f>
        <v>43401</v>
      </c>
      <c r="C67" s="20">
        <f>D66+G66-H66</f>
        <v>813.41639198691189</v>
      </c>
      <c r="D67" s="17">
        <f>C67+(C67*0.03)</f>
        <v>837.81888374651919</v>
      </c>
      <c r="E67" s="17">
        <f>C67/3250</f>
        <v>0.25028196676520365</v>
      </c>
      <c r="F67" s="28">
        <f>(D67-C67)/E67</f>
        <v>97.499999999999787</v>
      </c>
      <c r="G67" s="80"/>
      <c r="H67" s="80"/>
      <c r="I67" s="19">
        <f>E67*50/C67</f>
        <v>1.5384615384615385E-2</v>
      </c>
      <c r="J67" s="85"/>
    </row>
    <row r="68" spans="1:11" ht="13" thickBot="1">
      <c r="A68" s="78"/>
      <c r="B68" s="13"/>
      <c r="C68" s="22"/>
      <c r="D68" s="23"/>
      <c r="E68" s="23"/>
      <c r="F68" s="27"/>
      <c r="G68" s="23"/>
      <c r="H68" s="10"/>
      <c r="I68" s="24"/>
      <c r="J68" s="86"/>
    </row>
    <row r="69" spans="1:11">
      <c r="A69" s="103">
        <v>14</v>
      </c>
      <c r="B69" s="81">
        <f>B67+7</f>
        <v>43408</v>
      </c>
      <c r="C69" s="20">
        <f>D67+G67-H67</f>
        <v>837.81888374651919</v>
      </c>
      <c r="D69" s="17">
        <f>C69+(C69*0.03)</f>
        <v>862.95345025891481</v>
      </c>
      <c r="E69" s="17">
        <f>C69/3250</f>
        <v>0.25779042576815975</v>
      </c>
      <c r="F69" s="28">
        <f>(D69-C69)/E69</f>
        <v>97.500000000000185</v>
      </c>
      <c r="G69" s="18"/>
      <c r="H69" s="18"/>
      <c r="I69" s="19">
        <f>E69*50/C69</f>
        <v>1.5384615384615384E-2</v>
      </c>
      <c r="J69" s="85"/>
    </row>
    <row r="70" spans="1:11">
      <c r="A70" s="104"/>
      <c r="B70" s="81">
        <f>B69+7</f>
        <v>43415</v>
      </c>
      <c r="C70" s="20">
        <f>D69+G69-H69</f>
        <v>862.95345025891481</v>
      </c>
      <c r="D70" s="17">
        <f>C70+(C70*0.03)</f>
        <v>888.84205376668228</v>
      </c>
      <c r="E70" s="17">
        <f>C70/3250</f>
        <v>0.26552413854120455</v>
      </c>
      <c r="F70" s="28">
        <f>(D70-C70)/E70</f>
        <v>97.500000000000099</v>
      </c>
      <c r="G70" s="18"/>
      <c r="H70" s="18"/>
      <c r="I70" s="19">
        <f>E70*50/C70</f>
        <v>1.5384615384615384E-2</v>
      </c>
      <c r="J70" s="85"/>
    </row>
    <row r="71" spans="1:11">
      <c r="A71" s="104"/>
      <c r="B71" s="81">
        <f>B70+7</f>
        <v>43422</v>
      </c>
      <c r="C71" s="20">
        <f>D70+G70-H70</f>
        <v>888.84205376668228</v>
      </c>
      <c r="D71" s="17">
        <f>C71+(C71*0.03)</f>
        <v>915.50731537968272</v>
      </c>
      <c r="E71" s="17">
        <f>C71/3250</f>
        <v>0.27348986269744069</v>
      </c>
      <c r="F71" s="28">
        <f>(D71-C71)/E71</f>
        <v>97.499999999999901</v>
      </c>
      <c r="G71" s="18"/>
      <c r="H71" s="18"/>
      <c r="I71" s="19">
        <f>E71*50/C71</f>
        <v>1.5384615384615382E-2</v>
      </c>
      <c r="J71" s="85"/>
    </row>
    <row r="72" spans="1:11" ht="13" thickBot="1">
      <c r="A72" s="105"/>
      <c r="B72" s="81">
        <f>B71+7</f>
        <v>43429</v>
      </c>
      <c r="C72" s="20">
        <f>D71+G71-H71</f>
        <v>915.50731537968272</v>
      </c>
      <c r="D72" s="17">
        <f>C72+(C72*0.03)</f>
        <v>942.97253484107318</v>
      </c>
      <c r="E72" s="17">
        <f>C72/3250</f>
        <v>0.2816945585783639</v>
      </c>
      <c r="F72" s="28">
        <f>(D72-C72)/E72</f>
        <v>97.499999999999929</v>
      </c>
      <c r="G72" s="80"/>
      <c r="H72" s="80"/>
      <c r="I72" s="19">
        <f>E72*50/C72</f>
        <v>1.5384615384615384E-2</v>
      </c>
      <c r="J72" s="85"/>
    </row>
    <row r="73" spans="1:11" ht="13" thickBot="1">
      <c r="A73" s="78"/>
      <c r="B73" s="13"/>
      <c r="C73" s="22"/>
      <c r="D73" s="23"/>
      <c r="E73" s="23"/>
      <c r="F73" s="27"/>
      <c r="G73" s="23"/>
      <c r="H73" s="10"/>
      <c r="I73" s="24"/>
      <c r="J73" s="86"/>
    </row>
    <row r="74" spans="1:11">
      <c r="A74" s="103">
        <v>15</v>
      </c>
      <c r="B74" s="81">
        <f>B72+7</f>
        <v>43436</v>
      </c>
      <c r="C74" s="20">
        <f>D72+G72-H72</f>
        <v>942.97253484107318</v>
      </c>
      <c r="D74" s="17">
        <f>C74+(C74*0.03)</f>
        <v>971.26171088630542</v>
      </c>
      <c r="E74" s="17">
        <f>C74/3250</f>
        <v>0.29014539533571482</v>
      </c>
      <c r="F74" s="28">
        <f>(D74-C74)/E74</f>
        <v>97.500000000000156</v>
      </c>
      <c r="G74" s="18"/>
      <c r="H74" s="18"/>
      <c r="I74" s="19">
        <f>E74*50/C74</f>
        <v>1.5384615384615385E-2</v>
      </c>
      <c r="J74" s="85"/>
    </row>
    <row r="75" spans="1:11">
      <c r="A75" s="104"/>
      <c r="B75" s="81">
        <f>B74+7</f>
        <v>43443</v>
      </c>
      <c r="C75" s="20">
        <f>D74+G74-H74</f>
        <v>971.26171088630542</v>
      </c>
      <c r="D75" s="17">
        <f>C75+(C75*0.03)</f>
        <v>1000.3995622128946</v>
      </c>
      <c r="E75" s="17">
        <f>C75/3250</f>
        <v>0.29884975719578627</v>
      </c>
      <c r="F75" s="28">
        <f>(D75-C75)/E75</f>
        <v>97.499999999999986</v>
      </c>
      <c r="G75" s="18"/>
      <c r="H75" s="18"/>
      <c r="I75" s="19">
        <f>E75*50/C75</f>
        <v>1.5384615384615384E-2</v>
      </c>
      <c r="J75" s="85"/>
    </row>
    <row r="76" spans="1:11">
      <c r="A76" s="104"/>
      <c r="B76" s="81">
        <f>B75+7</f>
        <v>43450</v>
      </c>
      <c r="C76" s="20">
        <f>D75+G75-H75</f>
        <v>1000.3995622128946</v>
      </c>
      <c r="D76" s="17">
        <f>C76+(C76*0.03)</f>
        <v>1030.4115490792815</v>
      </c>
      <c r="E76" s="17">
        <f>C76/3250</f>
        <v>0.30781524991165987</v>
      </c>
      <c r="F76" s="28">
        <f>(D76-C76)/E76</f>
        <v>97.500000000000227</v>
      </c>
      <c r="G76" s="18"/>
      <c r="H76" s="18"/>
      <c r="I76" s="19">
        <f>E76*50/C76</f>
        <v>1.5384615384615385E-2</v>
      </c>
      <c r="J76" s="85"/>
    </row>
    <row r="77" spans="1:11" ht="13.5" thickBot="1">
      <c r="A77" s="105"/>
      <c r="B77" s="81">
        <f>B76+7</f>
        <v>43457</v>
      </c>
      <c r="C77" s="20">
        <f>D76+G76-H76</f>
        <v>1030.4115490792815</v>
      </c>
      <c r="D77" s="17">
        <f>C77+(C77*0.03)</f>
        <v>1061.3238955516599</v>
      </c>
      <c r="E77" s="17">
        <f>C77/3250</f>
        <v>0.31704970740900967</v>
      </c>
      <c r="F77" s="28">
        <f>(D77-C77)/E77</f>
        <v>97.499999999999957</v>
      </c>
      <c r="G77" s="80"/>
      <c r="H77" s="80">
        <f>(D77-C64)*0.35</f>
        <v>110.92643409529407</v>
      </c>
      <c r="I77" s="19">
        <f>E77*50/C77</f>
        <v>1.5384615384615384E-2</v>
      </c>
      <c r="J77" s="85"/>
      <c r="K77" s="102" t="s">
        <v>49</v>
      </c>
    </row>
    <row r="78" spans="1:11" ht="13" thickBot="1">
      <c r="A78" s="78"/>
      <c r="B78" s="13"/>
      <c r="C78" s="22"/>
      <c r="D78" s="23"/>
      <c r="E78" s="23"/>
      <c r="F78" s="27"/>
      <c r="G78" s="23"/>
      <c r="H78" s="10"/>
      <c r="I78" s="24"/>
      <c r="J78" s="86"/>
    </row>
    <row r="79" spans="1:11">
      <c r="A79" s="103">
        <v>16</v>
      </c>
      <c r="B79" s="81">
        <f>B77+7</f>
        <v>43464</v>
      </c>
      <c r="C79" s="20">
        <f>D77+G77-H77</f>
        <v>950.39746145636582</v>
      </c>
      <c r="D79" s="17">
        <f>C79+(C79*0.03)</f>
        <v>978.90938530005678</v>
      </c>
      <c r="E79" s="17">
        <f>C79/3250</f>
        <v>0.29242998814042026</v>
      </c>
      <c r="F79" s="28">
        <f>(D79-C79)/E79</f>
        <v>97.499999999999972</v>
      </c>
      <c r="G79" s="18"/>
      <c r="H79" s="18"/>
      <c r="I79" s="19">
        <f>E79*50/C79</f>
        <v>1.5384615384615384E-2</v>
      </c>
      <c r="J79" s="85"/>
    </row>
    <row r="80" spans="1:11">
      <c r="A80" s="104"/>
      <c r="B80" s="81">
        <f>B79+7</f>
        <v>43471</v>
      </c>
      <c r="C80" s="20">
        <f>D79+G79-H79</f>
        <v>978.90938530005678</v>
      </c>
      <c r="D80" s="17">
        <f>C80+(C80*0.03)</f>
        <v>1008.2766668590585</v>
      </c>
      <c r="E80" s="17">
        <f>C80/3250</f>
        <v>0.30120288778463283</v>
      </c>
      <c r="F80" s="28">
        <f>(D80-C80)/E80</f>
        <v>97.500000000000171</v>
      </c>
      <c r="G80" s="18"/>
      <c r="H80" s="18"/>
      <c r="I80" s="19">
        <f>E80*50/C80</f>
        <v>1.5384615384615384E-2</v>
      </c>
      <c r="J80" s="85"/>
    </row>
    <row r="81" spans="1:11">
      <c r="A81" s="104"/>
      <c r="B81" s="81">
        <f>B80+7</f>
        <v>43478</v>
      </c>
      <c r="C81" s="20">
        <f>D80+G80-H80</f>
        <v>1008.2766668590585</v>
      </c>
      <c r="D81" s="17">
        <f>C81+(C81*0.03)</f>
        <v>1038.5249668648303</v>
      </c>
      <c r="E81" s="17">
        <f>C81/3250</f>
        <v>0.31023897441817183</v>
      </c>
      <c r="F81" s="28">
        <f>(D81-C81)/E81</f>
        <v>97.499999999999957</v>
      </c>
      <c r="G81" s="18"/>
      <c r="H81" s="18"/>
      <c r="I81" s="19">
        <f>E81*50/C81</f>
        <v>1.5384615384615384E-2</v>
      </c>
      <c r="J81" s="85"/>
    </row>
    <row r="82" spans="1:11" ht="13" thickBot="1">
      <c r="A82" s="105"/>
      <c r="B82" s="81">
        <f>B81+7</f>
        <v>43485</v>
      </c>
      <c r="C82" s="20">
        <f>D81+G81-H81</f>
        <v>1038.5249668648303</v>
      </c>
      <c r="D82" s="17">
        <f>C82+(C82*0.03)</f>
        <v>1069.6807158707752</v>
      </c>
      <c r="E82" s="17">
        <f>C82/3250</f>
        <v>0.31954614365071699</v>
      </c>
      <c r="F82" s="28">
        <f>(D82-C82)/E82</f>
        <v>97.500000000000057</v>
      </c>
      <c r="G82" s="80"/>
      <c r="H82" s="80"/>
      <c r="I82" s="19">
        <f>E82*50/C82</f>
        <v>1.5384615384615384E-2</v>
      </c>
      <c r="J82" s="85"/>
    </row>
    <row r="83" spans="1:11" ht="13" thickBot="1">
      <c r="A83" s="78"/>
      <c r="B83" s="13"/>
      <c r="C83" s="22"/>
      <c r="D83" s="23"/>
      <c r="E83" s="23"/>
      <c r="F83" s="27"/>
      <c r="G83" s="23"/>
      <c r="H83" s="10"/>
      <c r="I83" s="24"/>
      <c r="J83" s="86"/>
    </row>
    <row r="84" spans="1:11">
      <c r="A84" s="103">
        <v>17</v>
      </c>
      <c r="B84" s="81">
        <f>B82+7</f>
        <v>43492</v>
      </c>
      <c r="C84" s="20">
        <f>D82+G82-H82</f>
        <v>1069.6807158707752</v>
      </c>
      <c r="D84" s="17">
        <f>C84+(C84*0.03)</f>
        <v>1101.7711373468985</v>
      </c>
      <c r="E84" s="17">
        <f>C84/3250</f>
        <v>0.32913252796023851</v>
      </c>
      <c r="F84" s="28">
        <f>(D84-C84)/E84</f>
        <v>97.500000000000171</v>
      </c>
      <c r="G84" s="18"/>
      <c r="H84" s="18"/>
      <c r="I84" s="19">
        <f>E84*50/C84</f>
        <v>1.5384615384615382E-2</v>
      </c>
      <c r="J84" s="85"/>
    </row>
    <row r="85" spans="1:11">
      <c r="A85" s="104"/>
      <c r="B85" s="81">
        <f>B84+7</f>
        <v>43499</v>
      </c>
      <c r="C85" s="20">
        <f>D84+G84-H84</f>
        <v>1101.7711373468985</v>
      </c>
      <c r="D85" s="17">
        <f>C85+(C85*0.03)</f>
        <v>1134.8242714673054</v>
      </c>
      <c r="E85" s="17">
        <f>C85/3250</f>
        <v>0.33900650379904568</v>
      </c>
      <c r="F85" s="28">
        <f>(D85-C85)/E85</f>
        <v>97.499999999999744</v>
      </c>
      <c r="G85" s="18"/>
      <c r="H85" s="18"/>
      <c r="I85" s="19">
        <f>E85*50/C85</f>
        <v>1.5384615384615384E-2</v>
      </c>
      <c r="J85" s="85"/>
    </row>
    <row r="86" spans="1:11">
      <c r="A86" s="104"/>
      <c r="B86" s="81">
        <f>B85+7</f>
        <v>43506</v>
      </c>
      <c r="C86" s="20">
        <f>D85+G85-H85</f>
        <v>1134.8242714673054</v>
      </c>
      <c r="D86" s="17">
        <f>C86+(C86*0.03)</f>
        <v>1168.8689996113246</v>
      </c>
      <c r="E86" s="17">
        <f>C86/3250</f>
        <v>0.34917669891301706</v>
      </c>
      <c r="F86" s="28">
        <f>(D86-C86)/E86</f>
        <v>97.500000000000242</v>
      </c>
      <c r="G86" s="18"/>
      <c r="H86" s="18"/>
      <c r="I86" s="19">
        <f>E86*50/C86</f>
        <v>1.5384615384615385E-2</v>
      </c>
      <c r="J86" s="85"/>
    </row>
    <row r="87" spans="1:11" ht="13" thickBot="1">
      <c r="A87" s="105"/>
      <c r="B87" s="81">
        <f>B86+7</f>
        <v>43513</v>
      </c>
      <c r="C87" s="20">
        <f>D86+G86-H86</f>
        <v>1168.8689996113246</v>
      </c>
      <c r="D87" s="17">
        <f>C87+(C87*0.03)</f>
        <v>1203.9350695996643</v>
      </c>
      <c r="E87" s="17">
        <f>C87/3250</f>
        <v>0.35965199988040758</v>
      </c>
      <c r="F87" s="28">
        <f>(D87-C87)/E87</f>
        <v>97.499999999999829</v>
      </c>
      <c r="G87" s="80"/>
      <c r="H87" s="80"/>
      <c r="I87" s="19">
        <f>E87*50/C87</f>
        <v>1.5384615384615385E-2</v>
      </c>
      <c r="J87" s="85"/>
    </row>
    <row r="88" spans="1:11" ht="13" thickBot="1">
      <c r="A88" s="78"/>
      <c r="B88" s="13"/>
      <c r="C88" s="22"/>
      <c r="D88" s="23"/>
      <c r="E88" s="23"/>
      <c r="F88" s="27"/>
      <c r="G88" s="23"/>
      <c r="H88" s="10"/>
      <c r="I88" s="24"/>
      <c r="J88" s="86"/>
    </row>
    <row r="89" spans="1:11">
      <c r="A89" s="103">
        <v>18</v>
      </c>
      <c r="B89" s="81">
        <f>B87+7</f>
        <v>43520</v>
      </c>
      <c r="C89" s="20">
        <f>D87+G87-H87</f>
        <v>1203.9350695996643</v>
      </c>
      <c r="D89" s="17">
        <f>C89+(C89*0.03)</f>
        <v>1240.0531216876543</v>
      </c>
      <c r="E89" s="17">
        <f>C89/3250</f>
        <v>0.37044155987681976</v>
      </c>
      <c r="F89" s="28">
        <f>(D89-C89)/E89</f>
        <v>97.500000000000227</v>
      </c>
      <c r="G89" s="18"/>
      <c r="H89" s="18"/>
      <c r="I89" s="19">
        <f>E89*50/C89</f>
        <v>1.5384615384615384E-2</v>
      </c>
      <c r="J89" s="85"/>
    </row>
    <row r="90" spans="1:11">
      <c r="A90" s="104"/>
      <c r="B90" s="81">
        <f>B89+7</f>
        <v>43527</v>
      </c>
      <c r="C90" s="20">
        <f>D89+G89-H89</f>
        <v>1240.0531216876543</v>
      </c>
      <c r="D90" s="17">
        <f>C90+(C90*0.03)</f>
        <v>1277.2547153382839</v>
      </c>
      <c r="E90" s="17">
        <f>C90/3250</f>
        <v>0.38155480667312441</v>
      </c>
      <c r="F90" s="28">
        <f>(D90-C90)/E90</f>
        <v>97.499999999999787</v>
      </c>
      <c r="G90" s="18"/>
      <c r="H90" s="18"/>
      <c r="I90" s="19">
        <f>E90*50/C90</f>
        <v>1.5384615384615384E-2</v>
      </c>
      <c r="J90" s="85"/>
    </row>
    <row r="91" spans="1:11">
      <c r="A91" s="104"/>
      <c r="B91" s="81">
        <f>B90+7</f>
        <v>43534</v>
      </c>
      <c r="C91" s="20">
        <f>D90+G90-H90</f>
        <v>1277.2547153382839</v>
      </c>
      <c r="D91" s="17">
        <f>C91+(C91*0.03)</f>
        <v>1315.5723567984323</v>
      </c>
      <c r="E91" s="17">
        <f>C91/3250</f>
        <v>0.39300145087331811</v>
      </c>
      <c r="F91" s="28">
        <f>(D91-C91)/E91</f>
        <v>97.499999999999901</v>
      </c>
      <c r="G91" s="18"/>
      <c r="H91" s="18"/>
      <c r="I91" s="19">
        <f>E91*50/C91</f>
        <v>1.5384615384615385E-2</v>
      </c>
      <c r="J91" s="85"/>
    </row>
    <row r="92" spans="1:11" ht="13.5" thickBot="1">
      <c r="A92" s="105"/>
      <c r="B92" s="81">
        <f>B91+7</f>
        <v>43541</v>
      </c>
      <c r="C92" s="20">
        <f>D91+G91-H91</f>
        <v>1315.5723567984323</v>
      </c>
      <c r="D92" s="17">
        <f>C92+(C92*0.03)</f>
        <v>1355.0395275023852</v>
      </c>
      <c r="E92" s="17">
        <f>C92/3250</f>
        <v>0.40479149439951762</v>
      </c>
      <c r="F92" s="28">
        <f>(D92-C92)/E92</f>
        <v>97.499999999999801</v>
      </c>
      <c r="G92" s="80"/>
      <c r="H92" s="80">
        <f>(D92-C79)*0.35</f>
        <v>141.62472311610679</v>
      </c>
      <c r="I92" s="19">
        <f>E92*50/C92</f>
        <v>1.5384615384615384E-2</v>
      </c>
      <c r="J92" s="85"/>
      <c r="K92" s="102" t="s">
        <v>49</v>
      </c>
    </row>
    <row r="93" spans="1:11" ht="13" thickBot="1">
      <c r="A93" s="78"/>
      <c r="B93" s="13"/>
      <c r="C93" s="22"/>
      <c r="D93" s="23"/>
      <c r="E93" s="23"/>
      <c r="F93" s="27"/>
      <c r="G93" s="23"/>
      <c r="H93" s="10"/>
      <c r="I93" s="24"/>
      <c r="J93" s="86"/>
    </row>
    <row r="94" spans="1:11">
      <c r="A94" s="103">
        <v>19</v>
      </c>
      <c r="B94" s="81">
        <f>B92+7</f>
        <v>43548</v>
      </c>
      <c r="C94" s="20">
        <f>D92+G92-H92</f>
        <v>1213.4148043862783</v>
      </c>
      <c r="D94" s="17">
        <f>C94+(C94*0.03)</f>
        <v>1249.8172485178666</v>
      </c>
      <c r="E94" s="17">
        <f>C94/3250</f>
        <v>0.37335840134962411</v>
      </c>
      <c r="F94" s="28">
        <f>(D94-C94)/E94</f>
        <v>97.499999999999744</v>
      </c>
      <c r="G94" s="17"/>
      <c r="H94" s="18"/>
      <c r="I94" s="19">
        <f>E94*50/C94</f>
        <v>1.5384615384615385E-2</v>
      </c>
      <c r="J94" s="85"/>
    </row>
    <row r="95" spans="1:11">
      <c r="A95" s="104"/>
      <c r="B95" s="81">
        <f>B94+7</f>
        <v>43555</v>
      </c>
      <c r="C95" s="20">
        <f>D94+G94-H94</f>
        <v>1249.8172485178666</v>
      </c>
      <c r="D95" s="17">
        <f>C95+(C95*0.03)</f>
        <v>1287.3117659734025</v>
      </c>
      <c r="E95" s="17">
        <f>C95/3250</f>
        <v>0.38455915339011282</v>
      </c>
      <c r="F95" s="28">
        <f>(D95-C95)/E95</f>
        <v>97.499999999999929</v>
      </c>
      <c r="G95" s="17"/>
      <c r="H95" s="18"/>
      <c r="I95" s="19">
        <f>E95*50/C95</f>
        <v>1.5384615384615387E-2</v>
      </c>
      <c r="J95" s="85"/>
    </row>
    <row r="96" spans="1:11">
      <c r="A96" s="104"/>
      <c r="B96" s="81">
        <f>B95+7</f>
        <v>43562</v>
      </c>
      <c r="C96" s="20">
        <f>D95+G95-H95</f>
        <v>1287.3117659734025</v>
      </c>
      <c r="D96" s="17">
        <f>C96+(C96*0.03)</f>
        <v>1325.9311189526047</v>
      </c>
      <c r="E96" s="17">
        <f>C96/3250</f>
        <v>0.39609592799181614</v>
      </c>
      <c r="F96" s="28">
        <f>(D96-C96)/E96</f>
        <v>97.500000000000256</v>
      </c>
      <c r="G96" s="17"/>
      <c r="H96" s="18"/>
      <c r="I96" s="19">
        <f>E96*50/C96</f>
        <v>1.5384615384615384E-2</v>
      </c>
      <c r="J96" s="85"/>
    </row>
    <row r="97" spans="1:11" ht="13" thickBot="1">
      <c r="A97" s="105"/>
      <c r="B97" s="81">
        <f>B96+7</f>
        <v>43569</v>
      </c>
      <c r="C97" s="20">
        <f>D96+G96-H96</f>
        <v>1325.9311189526047</v>
      </c>
      <c r="D97" s="17">
        <f>C97+(C97*0.03)</f>
        <v>1365.7090525211829</v>
      </c>
      <c r="E97" s="17">
        <f>C97/3250</f>
        <v>0.4079788058315707</v>
      </c>
      <c r="F97" s="28">
        <f>(D97-C97)/E97</f>
        <v>97.500000000000114</v>
      </c>
      <c r="G97" s="80"/>
      <c r="H97" s="80"/>
      <c r="I97" s="19">
        <f>E97*50/C97</f>
        <v>1.5384615384615384E-2</v>
      </c>
      <c r="J97" s="85"/>
    </row>
    <row r="98" spans="1:11" ht="13" thickBot="1">
      <c r="A98" s="78"/>
      <c r="B98" s="13"/>
      <c r="C98" s="22"/>
      <c r="D98" s="23"/>
      <c r="E98" s="23"/>
      <c r="F98" s="27"/>
      <c r="G98" s="23"/>
      <c r="H98" s="10"/>
      <c r="I98" s="24"/>
      <c r="J98" s="86"/>
    </row>
    <row r="99" spans="1:11">
      <c r="A99" s="103">
        <v>20</v>
      </c>
      <c r="B99" s="81">
        <f>B97+7</f>
        <v>43576</v>
      </c>
      <c r="C99" s="20">
        <f>D97+G97-H97</f>
        <v>1365.7090525211829</v>
      </c>
      <c r="D99" s="17">
        <f>C99+(C99*0.03)</f>
        <v>1406.6803240968184</v>
      </c>
      <c r="E99" s="17">
        <f>C99/3250</f>
        <v>0.42021817000651784</v>
      </c>
      <c r="F99" s="28">
        <f>(D99-C99)/E99</f>
        <v>97.499999999999915</v>
      </c>
      <c r="G99" s="18"/>
      <c r="H99" s="18"/>
      <c r="I99" s="19">
        <f>E99*50/C99</f>
        <v>1.5384615384615385E-2</v>
      </c>
      <c r="J99" s="85"/>
    </row>
    <row r="100" spans="1:11">
      <c r="A100" s="104"/>
      <c r="B100" s="81">
        <f>B99+7</f>
        <v>43583</v>
      </c>
      <c r="C100" s="20">
        <f>D99+G99-H99</f>
        <v>1406.6803240968184</v>
      </c>
      <c r="D100" s="17">
        <f>C100+(C100*0.03)</f>
        <v>1448.880733819723</v>
      </c>
      <c r="E100" s="17">
        <f>C100/3250</f>
        <v>0.43282471510671333</v>
      </c>
      <c r="F100" s="28">
        <f>(D100-C100)/E100</f>
        <v>97.500000000000171</v>
      </c>
      <c r="G100" s="18"/>
      <c r="H100" s="18"/>
      <c r="I100" s="19">
        <f>E100*50/C100</f>
        <v>1.5384615384615385E-2</v>
      </c>
      <c r="J100" s="85"/>
    </row>
    <row r="101" spans="1:11">
      <c r="A101" s="104"/>
      <c r="B101" s="81">
        <f>B100+7</f>
        <v>43590</v>
      </c>
      <c r="C101" s="20">
        <f>D100+G100-H100</f>
        <v>1448.880733819723</v>
      </c>
      <c r="D101" s="17">
        <f>C101+(C101*0.03)</f>
        <v>1492.3471558343147</v>
      </c>
      <c r="E101" s="17">
        <f>C101/3250</f>
        <v>0.44580945655991477</v>
      </c>
      <c r="F101" s="28">
        <f>(D101-C101)/E101</f>
        <v>97.499999999999957</v>
      </c>
      <c r="G101" s="18"/>
      <c r="H101" s="18"/>
      <c r="I101" s="19">
        <f>E101*50/C101</f>
        <v>1.5384615384615385E-2</v>
      </c>
      <c r="J101" s="85"/>
    </row>
    <row r="102" spans="1:11" ht="13" thickBot="1">
      <c r="A102" s="105"/>
      <c r="B102" s="81">
        <f>B101+7</f>
        <v>43597</v>
      </c>
      <c r="C102" s="20">
        <f>D101+G101-H101</f>
        <v>1492.3471558343147</v>
      </c>
      <c r="D102" s="17">
        <f>C102+(C102*0.03)</f>
        <v>1537.1175705093442</v>
      </c>
      <c r="E102" s="17">
        <f>C102/3250</f>
        <v>0.45918374025671221</v>
      </c>
      <c r="F102" s="28">
        <f>(D102-C102)/E102</f>
        <v>97.500000000000227</v>
      </c>
      <c r="G102" s="80"/>
      <c r="H102" s="80"/>
      <c r="I102" s="19">
        <f>E102*50/C102</f>
        <v>1.5384615384615384E-2</v>
      </c>
      <c r="J102" s="85"/>
    </row>
    <row r="103" spans="1:11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6"/>
    </row>
    <row r="104" spans="1:11">
      <c r="A104" s="103">
        <v>21</v>
      </c>
      <c r="B104" s="81">
        <f>B102+7</f>
        <v>43604</v>
      </c>
      <c r="C104" s="20">
        <f>D102+G102-H102</f>
        <v>1537.1175705093442</v>
      </c>
      <c r="D104" s="17">
        <f>C104+(C104*0.03)</f>
        <v>1583.2310976246245</v>
      </c>
      <c r="E104" s="17">
        <f>C104/3250</f>
        <v>0.47295925246441362</v>
      </c>
      <c r="F104" s="28">
        <f>(D104-C104)/E104</f>
        <v>97.499999999999829</v>
      </c>
      <c r="G104" s="18"/>
      <c r="H104" s="18"/>
      <c r="I104" s="19">
        <f>E104*50/C104</f>
        <v>1.5384615384615385E-2</v>
      </c>
      <c r="J104" s="85"/>
    </row>
    <row r="105" spans="1:11">
      <c r="A105" s="104"/>
      <c r="B105" s="81">
        <f>B104+7</f>
        <v>43611</v>
      </c>
      <c r="C105" s="20">
        <f>D104+G104-H104</f>
        <v>1583.2310976246245</v>
      </c>
      <c r="D105" s="17">
        <f>C105+(C105*0.03)</f>
        <v>1630.7280305533632</v>
      </c>
      <c r="E105" s="17">
        <f>C105/3250</f>
        <v>0.487148030038346</v>
      </c>
      <c r="F105" s="28">
        <f>(D105-C105)/E105</f>
        <v>97.499999999999957</v>
      </c>
      <c r="G105" s="18"/>
      <c r="H105" s="18"/>
      <c r="I105" s="19">
        <f>E105*50/C105</f>
        <v>1.5384615384615385E-2</v>
      </c>
      <c r="J105" s="85"/>
    </row>
    <row r="106" spans="1:11">
      <c r="A106" s="104"/>
      <c r="B106" s="81">
        <f>B105+7</f>
        <v>43618</v>
      </c>
      <c r="C106" s="20">
        <f>D105+G105-H105</f>
        <v>1630.7280305533632</v>
      </c>
      <c r="D106" s="17">
        <f>C106+(C106*0.03)</f>
        <v>1679.649871469964</v>
      </c>
      <c r="E106" s="17">
        <f>C106/3250</f>
        <v>0.50176247093949633</v>
      </c>
      <c r="F106" s="28">
        <f>(D106-C106)/E106</f>
        <v>97.499999999999787</v>
      </c>
      <c r="G106" s="18"/>
      <c r="H106" s="18"/>
      <c r="I106" s="19">
        <f>E106*50/C106</f>
        <v>1.5384615384615384E-2</v>
      </c>
      <c r="J106" s="85"/>
    </row>
    <row r="107" spans="1:11" ht="13.5" thickBot="1">
      <c r="A107" s="105"/>
      <c r="B107" s="81">
        <f>B106+7</f>
        <v>43625</v>
      </c>
      <c r="C107" s="20">
        <f>D106+G106-H106</f>
        <v>1679.649871469964</v>
      </c>
      <c r="D107" s="17">
        <f>C107+(C107*0.03)</f>
        <v>1730.0393676140629</v>
      </c>
      <c r="E107" s="17">
        <f>C107/3250</f>
        <v>0.51681534506768123</v>
      </c>
      <c r="F107" s="28">
        <f>(D107-C107)/E107</f>
        <v>97.500000000000128</v>
      </c>
      <c r="G107" s="80"/>
      <c r="H107" s="80">
        <f>(D107-C94)*0.35</f>
        <v>180.81859712972459</v>
      </c>
      <c r="I107" s="19">
        <f>E107*50/C107</f>
        <v>1.5384615384615385E-2</v>
      </c>
      <c r="J107" s="85"/>
      <c r="K107" s="102" t="s">
        <v>49</v>
      </c>
    </row>
    <row r="108" spans="1:11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6"/>
    </row>
    <row r="109" spans="1:11">
      <c r="A109" s="103">
        <v>22</v>
      </c>
      <c r="B109" s="81">
        <f>B107+7</f>
        <v>43632</v>
      </c>
      <c r="C109" s="20">
        <f>D107+G107-H107</f>
        <v>1549.2207704843383</v>
      </c>
      <c r="D109" s="17">
        <f>C109+(C109*0.03)</f>
        <v>1595.6973935988685</v>
      </c>
      <c r="E109" s="17">
        <f>C109/3250</f>
        <v>0.47668331399518105</v>
      </c>
      <c r="F109" s="28">
        <f>(D109-C109)/E109</f>
        <v>97.500000000000071</v>
      </c>
      <c r="G109" s="18"/>
      <c r="H109" s="18"/>
      <c r="I109" s="19">
        <f>E109*50/C109</f>
        <v>1.5384615384615384E-2</v>
      </c>
      <c r="J109" s="85"/>
    </row>
    <row r="110" spans="1:11">
      <c r="A110" s="104"/>
      <c r="B110" s="81">
        <f>B109+7</f>
        <v>43639</v>
      </c>
      <c r="C110" s="20">
        <f>D109+G109-H109</f>
        <v>1595.6973935988685</v>
      </c>
      <c r="D110" s="17">
        <f>C110+(C110*0.03)</f>
        <v>1643.5683154068347</v>
      </c>
      <c r="E110" s="17">
        <f>C110/3250</f>
        <v>0.4909838134150365</v>
      </c>
      <c r="F110" s="28">
        <f>(D110-C110)/E110</f>
        <v>97.500000000000227</v>
      </c>
      <c r="G110" s="18"/>
      <c r="H110" s="18"/>
      <c r="I110" s="19">
        <f>E110*50/C110</f>
        <v>1.5384615384615384E-2</v>
      </c>
      <c r="J110" s="85"/>
    </row>
    <row r="111" spans="1:11">
      <c r="A111" s="104"/>
      <c r="B111" s="81">
        <f>B110+7</f>
        <v>43646</v>
      </c>
      <c r="C111" s="20">
        <f>D110+G110-H110</f>
        <v>1643.5683154068347</v>
      </c>
      <c r="D111" s="17">
        <f>C111+(C111*0.03)</f>
        <v>1692.8753648690397</v>
      </c>
      <c r="E111" s="17">
        <f>C111/3250</f>
        <v>0.50571332781748757</v>
      </c>
      <c r="F111" s="28">
        <f>(D111-C111)/E111</f>
        <v>97.499999999999901</v>
      </c>
      <c r="G111" s="18"/>
      <c r="H111" s="18"/>
      <c r="I111" s="19">
        <f>E111*50/C111</f>
        <v>1.5384615384615384E-2</v>
      </c>
      <c r="J111" s="85"/>
    </row>
    <row r="112" spans="1:11" ht="13" thickBot="1">
      <c r="A112" s="105"/>
      <c r="B112" s="81">
        <f>B111+7</f>
        <v>43653</v>
      </c>
      <c r="C112" s="20">
        <f>D111+G111-H111</f>
        <v>1692.8753648690397</v>
      </c>
      <c r="D112" s="17">
        <f>C112+(C112*0.03)</f>
        <v>1743.6616258151109</v>
      </c>
      <c r="E112" s="17">
        <f>C112/3250</f>
        <v>0.52088472765201221</v>
      </c>
      <c r="F112" s="28">
        <f>(D112-C112)/E112</f>
        <v>97.500000000000114</v>
      </c>
      <c r="G112" s="80"/>
      <c r="H112" s="80"/>
      <c r="I112" s="19">
        <f>E112*50/C112</f>
        <v>1.5384615384615385E-2</v>
      </c>
      <c r="J112" s="85"/>
    </row>
    <row r="113" spans="1:11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6"/>
    </row>
    <row r="114" spans="1:11">
      <c r="A114" s="103">
        <v>23</v>
      </c>
      <c r="B114" s="81">
        <f>B112+7</f>
        <v>43660</v>
      </c>
      <c r="C114" s="20">
        <f>D112+G112-H112</f>
        <v>1743.6616258151109</v>
      </c>
      <c r="D114" s="17">
        <f>C114+(C114*0.03)</f>
        <v>1795.9714745895642</v>
      </c>
      <c r="E114" s="17">
        <f>C114/3250</f>
        <v>0.53651126948157257</v>
      </c>
      <c r="F114" s="28">
        <f>(D114-C114)/E114</f>
        <v>97.499999999999872</v>
      </c>
      <c r="G114" s="18"/>
      <c r="H114" s="18"/>
      <c r="I114" s="19">
        <f>E114*50/C114</f>
        <v>1.5384615384615384E-2</v>
      </c>
      <c r="J114" s="85"/>
    </row>
    <row r="115" spans="1:11">
      <c r="A115" s="104"/>
      <c r="B115" s="81">
        <f>B114+7</f>
        <v>43667</v>
      </c>
      <c r="C115" s="20">
        <f>D114+G114-H114</f>
        <v>1795.9714745895642</v>
      </c>
      <c r="D115" s="17">
        <f>C115+(C115*0.03)</f>
        <v>1849.8506188272511</v>
      </c>
      <c r="E115" s="17">
        <f>C115/3250</f>
        <v>0.55260660756601976</v>
      </c>
      <c r="F115" s="28">
        <f>(D115-C115)/E115</f>
        <v>97.499999999999929</v>
      </c>
      <c r="G115" s="18"/>
      <c r="H115" s="18"/>
      <c r="I115" s="19">
        <f>E115*50/C115</f>
        <v>1.5384615384615385E-2</v>
      </c>
      <c r="J115" s="85"/>
    </row>
    <row r="116" spans="1:11">
      <c r="A116" s="104"/>
      <c r="B116" s="81">
        <f>B115+7</f>
        <v>43674</v>
      </c>
      <c r="C116" s="20">
        <f>D115+G115-H115</f>
        <v>1849.8506188272511</v>
      </c>
      <c r="D116" s="17">
        <f>C116+(C116*0.03)</f>
        <v>1905.3461373920686</v>
      </c>
      <c r="E116" s="17">
        <f>C116/3250</f>
        <v>0.56918480579300035</v>
      </c>
      <c r="F116" s="28">
        <f>(D116-C116)/E116</f>
        <v>97.5</v>
      </c>
      <c r="G116" s="18"/>
      <c r="H116" s="18"/>
      <c r="I116" s="19">
        <f>E116*50/C116</f>
        <v>1.5384615384615385E-2</v>
      </c>
      <c r="J116" s="85"/>
    </row>
    <row r="117" spans="1:11" ht="13" thickBot="1">
      <c r="A117" s="105"/>
      <c r="B117" s="81">
        <f>B116+7</f>
        <v>43681</v>
      </c>
      <c r="C117" s="20">
        <f>D116+G116-H116</f>
        <v>1905.3461373920686</v>
      </c>
      <c r="D117" s="17">
        <f>C117+(C117*0.03)</f>
        <v>1962.5065215138306</v>
      </c>
      <c r="E117" s="17">
        <f>C117/3250</f>
        <v>0.58626034996679033</v>
      </c>
      <c r="F117" s="28">
        <f>(D117-C117)/E117</f>
        <v>97.499999999999957</v>
      </c>
      <c r="G117" s="80"/>
      <c r="H117" s="80"/>
      <c r="I117" s="19">
        <f>E117*50/C117</f>
        <v>1.5384615384615384E-2</v>
      </c>
      <c r="J117" s="85"/>
    </row>
    <row r="118" spans="1:11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6"/>
    </row>
    <row r="119" spans="1:11">
      <c r="A119" s="103">
        <v>24</v>
      </c>
      <c r="B119" s="81">
        <f>B117+7</f>
        <v>43688</v>
      </c>
      <c r="C119" s="20">
        <f>D117+G117-H117</f>
        <v>1962.5065215138306</v>
      </c>
      <c r="D119" s="17">
        <f>C119+(C119*0.03)</f>
        <v>2021.3817171592455</v>
      </c>
      <c r="E119" s="17">
        <f>C119/3250</f>
        <v>0.60384816046579404</v>
      </c>
      <c r="F119" s="28">
        <f>(D119-C119)/E119</f>
        <v>97.499999999999815</v>
      </c>
      <c r="G119" s="18"/>
      <c r="H119" s="18"/>
      <c r="I119" s="19">
        <f>E119*50/C119</f>
        <v>1.5384615384615384E-2</v>
      </c>
      <c r="J119" s="85"/>
    </row>
    <row r="120" spans="1:11">
      <c r="A120" s="104"/>
      <c r="B120" s="81">
        <f>B119+7</f>
        <v>43695</v>
      </c>
      <c r="C120" s="20">
        <f>D119+G119-H119</f>
        <v>2021.3817171592455</v>
      </c>
      <c r="D120" s="17">
        <f>C120+(C120*0.03)</f>
        <v>2082.0231686740226</v>
      </c>
      <c r="E120" s="17">
        <f>C120/3250</f>
        <v>0.62196360527976779</v>
      </c>
      <c r="F120" s="28">
        <f>(D120-C120)/E120</f>
        <v>97.499999999999659</v>
      </c>
      <c r="G120" s="18"/>
      <c r="H120" s="18"/>
      <c r="I120" s="19">
        <f>E120*50/C120</f>
        <v>1.5384615384615384E-2</v>
      </c>
      <c r="J120" s="85"/>
    </row>
    <row r="121" spans="1:11">
      <c r="A121" s="104"/>
      <c r="B121" s="81">
        <f>B120+7</f>
        <v>43702</v>
      </c>
      <c r="C121" s="20">
        <f>D120+G120-H120</f>
        <v>2082.0231686740226</v>
      </c>
      <c r="D121" s="17">
        <f>C121+(C121*0.03)</f>
        <v>2144.4838637342432</v>
      </c>
      <c r="E121" s="17">
        <f>C121/3250</f>
        <v>0.64062251343816079</v>
      </c>
      <c r="F121" s="28">
        <f>(D121-C121)/E121</f>
        <v>97.499999999999858</v>
      </c>
      <c r="G121" s="18"/>
      <c r="H121" s="18"/>
      <c r="I121" s="19">
        <f>E121*50/C121</f>
        <v>1.5384615384615382E-2</v>
      </c>
      <c r="J121" s="85"/>
    </row>
    <row r="122" spans="1:11" ht="13.5" thickBot="1">
      <c r="A122" s="105"/>
      <c r="B122" s="81">
        <f>B121+7</f>
        <v>43709</v>
      </c>
      <c r="C122" s="20">
        <f>D121+G121-H121</f>
        <v>2144.4838637342432</v>
      </c>
      <c r="D122" s="17">
        <f>C122+(C122*0.03)</f>
        <v>2208.8183796462704</v>
      </c>
      <c r="E122" s="17">
        <f>C122/3250</f>
        <v>0.6598411888413056</v>
      </c>
      <c r="F122" s="28">
        <f>(D122-C122)/E122</f>
        <v>97.499999999999858</v>
      </c>
      <c r="G122" s="80"/>
      <c r="H122" s="80">
        <f>(D122-C109)*0.35</f>
        <v>230.85916320667619</v>
      </c>
      <c r="I122" s="19">
        <f>E122*50/C122</f>
        <v>1.5384615384615385E-2</v>
      </c>
      <c r="J122" s="85"/>
      <c r="K122" s="102" t="s">
        <v>49</v>
      </c>
    </row>
    <row r="123" spans="1:11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6"/>
    </row>
    <row r="124" spans="1:11">
      <c r="A124" s="103">
        <v>25</v>
      </c>
      <c r="B124" s="81">
        <f>B122+7</f>
        <v>43716</v>
      </c>
      <c r="C124" s="20">
        <f>D122+G122-H122</f>
        <v>1977.9592164395942</v>
      </c>
      <c r="D124" s="17">
        <f>C124+(C124*0.03)</f>
        <v>2037.2979929327821</v>
      </c>
      <c r="E124" s="17">
        <f>C124/3250</f>
        <v>0.60860283582756747</v>
      </c>
      <c r="F124" s="28">
        <f>(D124-C124)/E124</f>
        <v>97.500000000000085</v>
      </c>
      <c r="G124" s="17"/>
      <c r="H124" s="18"/>
      <c r="I124" s="19">
        <f>E124*50/C124</f>
        <v>1.5384615384615385E-2</v>
      </c>
      <c r="J124" s="85"/>
    </row>
    <row r="125" spans="1:11">
      <c r="A125" s="104"/>
      <c r="B125" s="81">
        <f>B124+7</f>
        <v>43723</v>
      </c>
      <c r="C125" s="20">
        <f>D124+G124-H124</f>
        <v>2037.2979929327821</v>
      </c>
      <c r="D125" s="17">
        <f>C125+(C125*0.03)</f>
        <v>2098.4169327207655</v>
      </c>
      <c r="E125" s="17">
        <f>C125/3250</f>
        <v>0.62686092090239454</v>
      </c>
      <c r="F125" s="28">
        <f>(D125-C125)/E125</f>
        <v>97.499999999999943</v>
      </c>
      <c r="G125" s="17"/>
      <c r="H125" s="18"/>
      <c r="I125" s="19">
        <f>E125*50/C125</f>
        <v>1.5384615384615385E-2</v>
      </c>
      <c r="J125" s="85"/>
    </row>
    <row r="126" spans="1:11">
      <c r="A126" s="104"/>
      <c r="B126" s="81">
        <f>B125+7</f>
        <v>43730</v>
      </c>
      <c r="C126" s="20">
        <f>D125+G125-H125</f>
        <v>2098.4169327207655</v>
      </c>
      <c r="D126" s="17">
        <f>C126+(C126*0.03)</f>
        <v>2161.3694407023886</v>
      </c>
      <c r="E126" s="17">
        <f>C126/3250</f>
        <v>0.64566674852946637</v>
      </c>
      <c r="F126" s="28">
        <f>(D126-C126)/E126</f>
        <v>97.500000000000128</v>
      </c>
      <c r="G126" s="17"/>
      <c r="H126" s="18"/>
      <c r="I126" s="19">
        <f>E126*50/C126</f>
        <v>1.5384615384615385E-2</v>
      </c>
      <c r="J126" s="85"/>
    </row>
    <row r="127" spans="1:11" ht="13" thickBot="1">
      <c r="A127" s="105"/>
      <c r="B127" s="81">
        <f>B126+7</f>
        <v>43737</v>
      </c>
      <c r="C127" s="20">
        <f>D126+G126-H126</f>
        <v>2161.3694407023886</v>
      </c>
      <c r="D127" s="17">
        <f>C127+(C127*0.03)</f>
        <v>2226.2105239234602</v>
      </c>
      <c r="E127" s="17">
        <f>C127/3250</f>
        <v>0.66503675098535031</v>
      </c>
      <c r="F127" s="28">
        <f>(D127-C127)/E127</f>
        <v>97.499999999999901</v>
      </c>
      <c r="G127" s="80"/>
      <c r="H127" s="80"/>
      <c r="I127" s="19">
        <f>E127*50/C127</f>
        <v>1.5384615384615384E-2</v>
      </c>
      <c r="J127" s="85"/>
    </row>
    <row r="128" spans="1:11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6"/>
    </row>
    <row r="129" spans="1:11">
      <c r="A129" s="103">
        <v>26</v>
      </c>
      <c r="B129" s="81">
        <f>B127+7</f>
        <v>43744</v>
      </c>
      <c r="C129" s="20">
        <f>D127+G127-H127</f>
        <v>2226.2105239234602</v>
      </c>
      <c r="D129" s="17">
        <f>C129+(C129*0.03)</f>
        <v>2292.9968396411641</v>
      </c>
      <c r="E129" s="17">
        <f>C129/3250</f>
        <v>0.68498785351491087</v>
      </c>
      <c r="F129" s="28">
        <f>(D129-C129)/E129</f>
        <v>97.500000000000171</v>
      </c>
      <c r="G129" s="18"/>
      <c r="H129" s="18"/>
      <c r="I129" s="19">
        <f>E129*50/C129</f>
        <v>1.5384615384615387E-2</v>
      </c>
      <c r="J129" s="85"/>
    </row>
    <row r="130" spans="1:11">
      <c r="A130" s="104"/>
      <c r="B130" s="81">
        <f>B129+7</f>
        <v>43751</v>
      </c>
      <c r="C130" s="20">
        <f>D129+G129-H129</f>
        <v>2292.9968396411641</v>
      </c>
      <c r="D130" s="17">
        <f>C130+(C130*0.03)</f>
        <v>2361.7867448303991</v>
      </c>
      <c r="E130" s="17">
        <f>C130/3250</f>
        <v>0.70553748912035819</v>
      </c>
      <c r="F130" s="28">
        <f>(D130-C130)/E130</f>
        <v>97.500000000000128</v>
      </c>
      <c r="G130" s="18"/>
      <c r="H130" s="18"/>
      <c r="I130" s="19">
        <f>E130*50/C130</f>
        <v>1.5384615384615384E-2</v>
      </c>
      <c r="J130" s="85"/>
    </row>
    <row r="131" spans="1:11">
      <c r="A131" s="104"/>
      <c r="B131" s="81">
        <f>B130+7</f>
        <v>43758</v>
      </c>
      <c r="C131" s="20">
        <f>D130+G130-H130</f>
        <v>2361.7867448303991</v>
      </c>
      <c r="D131" s="17">
        <f>C131+(C131*0.03)</f>
        <v>2432.640347175311</v>
      </c>
      <c r="E131" s="17">
        <f>C131/3250</f>
        <v>0.72670361379396897</v>
      </c>
      <c r="F131" s="28">
        <f>(D131-C131)/E131</f>
        <v>97.499999999999901</v>
      </c>
      <c r="G131" s="18"/>
      <c r="H131" s="18"/>
      <c r="I131" s="19">
        <f>E131*50/C131</f>
        <v>1.5384615384615384E-2</v>
      </c>
      <c r="J131" s="85"/>
    </row>
    <row r="132" spans="1:11" ht="13" thickBot="1">
      <c r="A132" s="105"/>
      <c r="B132" s="81">
        <f>B131+7</f>
        <v>43765</v>
      </c>
      <c r="C132" s="20">
        <f>D131+G131-H131</f>
        <v>2432.640347175311</v>
      </c>
      <c r="D132" s="17">
        <f>C132+(C132*0.03)</f>
        <v>2505.6195575905704</v>
      </c>
      <c r="E132" s="17">
        <f>C132/3250</f>
        <v>0.74850472220778796</v>
      </c>
      <c r="F132" s="28">
        <f>(D132-C132)/E132</f>
        <v>97.5</v>
      </c>
      <c r="G132" s="80"/>
      <c r="H132" s="80"/>
      <c r="I132" s="19">
        <f>E132*50/C132</f>
        <v>1.5384615384615384E-2</v>
      </c>
      <c r="J132" s="85"/>
    </row>
    <row r="133" spans="1:11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6"/>
    </row>
    <row r="134" spans="1:11">
      <c r="A134" s="103">
        <v>27</v>
      </c>
      <c r="B134" s="81">
        <f>B132+7</f>
        <v>43772</v>
      </c>
      <c r="C134" s="20">
        <f>D132+G132-H132</f>
        <v>2505.6195575905704</v>
      </c>
      <c r="D134" s="17">
        <f>C134+(C134*0.03)</f>
        <v>2580.7881443182873</v>
      </c>
      <c r="E134" s="17">
        <f>C134/3250</f>
        <v>0.7709598638740216</v>
      </c>
      <c r="F134" s="28">
        <f>(D134-C134)/E134</f>
        <v>97.499999999999801</v>
      </c>
      <c r="G134" s="18"/>
      <c r="H134" s="18"/>
      <c r="I134" s="19">
        <f>E134*50/C134</f>
        <v>1.5384615384615384E-2</v>
      </c>
      <c r="J134" s="85"/>
    </row>
    <row r="135" spans="1:11">
      <c r="A135" s="104"/>
      <c r="B135" s="81">
        <f>B134+7</f>
        <v>43779</v>
      </c>
      <c r="C135" s="20">
        <f>D134+G134-H134</f>
        <v>2580.7881443182873</v>
      </c>
      <c r="D135" s="17">
        <f>C135+(C135*0.03)</f>
        <v>2658.2117886478359</v>
      </c>
      <c r="E135" s="17">
        <f>C135/3250</f>
        <v>0.79408865979024224</v>
      </c>
      <c r="F135" s="28">
        <f>(D135-C135)/E135</f>
        <v>97.499999999999915</v>
      </c>
      <c r="G135" s="18"/>
      <c r="H135" s="18"/>
      <c r="I135" s="19">
        <f>E135*50/C135</f>
        <v>1.5384615384615385E-2</v>
      </c>
      <c r="J135" s="85"/>
    </row>
    <row r="136" spans="1:11">
      <c r="A136" s="104"/>
      <c r="B136" s="81">
        <f>B135+7</f>
        <v>43786</v>
      </c>
      <c r="C136" s="20">
        <f>D135+G135-H135</f>
        <v>2658.2117886478359</v>
      </c>
      <c r="D136" s="17">
        <f>C136+(C136*0.03)</f>
        <v>2737.9581423072709</v>
      </c>
      <c r="E136" s="17">
        <f>C136/3250</f>
        <v>0.81791131958394947</v>
      </c>
      <c r="F136" s="28">
        <f>(D136-C136)/E136</f>
        <v>97.499999999999972</v>
      </c>
      <c r="G136" s="18"/>
      <c r="H136" s="18"/>
      <c r="I136" s="19">
        <f>E136*50/C136</f>
        <v>1.5384615384615384E-2</v>
      </c>
      <c r="J136" s="85"/>
    </row>
    <row r="137" spans="1:11" ht="13.5" thickBot="1">
      <c r="A137" s="105"/>
      <c r="B137" s="81">
        <f>B136+7</f>
        <v>43793</v>
      </c>
      <c r="C137" s="20">
        <f>D136+G136-H136</f>
        <v>2737.9581423072709</v>
      </c>
      <c r="D137" s="17">
        <f>C137+(C137*0.03)</f>
        <v>2820.0968865764889</v>
      </c>
      <c r="E137" s="17">
        <f>C137/3250</f>
        <v>0.84244865917146794</v>
      </c>
      <c r="F137" s="28">
        <f>(D137-C137)/E137</f>
        <v>97.499999999999886</v>
      </c>
      <c r="G137" s="80"/>
      <c r="H137" s="80">
        <f>(D137-C124)*0.35</f>
        <v>294.74818454791313</v>
      </c>
      <c r="I137" s="19">
        <f>E137*50/C137</f>
        <v>1.5384615384615384E-2</v>
      </c>
      <c r="J137" s="85"/>
      <c r="K137" s="102" t="s">
        <v>49</v>
      </c>
    </row>
    <row r="138" spans="1:11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86"/>
    </row>
    <row r="139" spans="1:11">
      <c r="A139" s="103">
        <v>26</v>
      </c>
      <c r="B139" s="81">
        <f>B137+7</f>
        <v>43800</v>
      </c>
      <c r="C139" s="20">
        <f>D137+G137-H137</f>
        <v>2525.3487020285756</v>
      </c>
      <c r="D139" s="17">
        <f>C139+(C139*0.03)</f>
        <v>2601.109163089433</v>
      </c>
      <c r="E139" s="17">
        <f>C139/3250</f>
        <v>0.77703036985494633</v>
      </c>
      <c r="F139" s="28">
        <f>(D139-C139)/E139</f>
        <v>97.500000000000071</v>
      </c>
      <c r="G139" s="18"/>
      <c r="H139" s="18"/>
      <c r="I139" s="19">
        <f>E139*50/C139</f>
        <v>1.5384615384615384E-2</v>
      </c>
      <c r="J139" s="85"/>
    </row>
    <row r="140" spans="1:11">
      <c r="A140" s="104"/>
      <c r="B140" s="81">
        <f>B139+7</f>
        <v>43807</v>
      </c>
      <c r="C140" s="20">
        <f>D139+G139-H139</f>
        <v>2601.109163089433</v>
      </c>
      <c r="D140" s="17">
        <f>C140+(C140*0.03)</f>
        <v>2679.142437982116</v>
      </c>
      <c r="E140" s="17">
        <f>C140/3250</f>
        <v>0.80034128095059476</v>
      </c>
      <c r="F140" s="28">
        <f>(D140-C140)/E140</f>
        <v>97.500000000000057</v>
      </c>
      <c r="G140" s="18"/>
      <c r="H140" s="18"/>
      <c r="I140" s="19">
        <f>E140*50/C140</f>
        <v>1.5384615384615384E-2</v>
      </c>
      <c r="J140" s="85"/>
    </row>
    <row r="141" spans="1:11">
      <c r="A141" s="104"/>
      <c r="B141" s="81">
        <f>B140+7</f>
        <v>43814</v>
      </c>
      <c r="C141" s="20">
        <f>D140+G140-H140</f>
        <v>2679.142437982116</v>
      </c>
      <c r="D141" s="17">
        <f>C141+(C141*0.03)</f>
        <v>2759.5167111215796</v>
      </c>
      <c r="E141" s="17">
        <f>C141/3250</f>
        <v>0.82435151937911266</v>
      </c>
      <c r="F141" s="28">
        <f>(D141-C141)/E141</f>
        <v>97.500000000000185</v>
      </c>
      <c r="G141" s="18"/>
      <c r="H141" s="18"/>
      <c r="I141" s="19">
        <f>E141*50/C141</f>
        <v>1.5384615384615387E-2</v>
      </c>
      <c r="J141" s="85"/>
    </row>
    <row r="142" spans="1:11" ht="13" thickBot="1">
      <c r="A142" s="105"/>
      <c r="B142" s="81">
        <f>B141+7</f>
        <v>43821</v>
      </c>
      <c r="C142" s="20">
        <f>D141+G141-H141</f>
        <v>2759.5167111215796</v>
      </c>
      <c r="D142" s="17">
        <f>C142+(C142*0.03)</f>
        <v>2842.3022124552272</v>
      </c>
      <c r="E142" s="17">
        <f>C142/3250</f>
        <v>0.84908206496048599</v>
      </c>
      <c r="F142" s="28">
        <f>(D142-C142)/E142</f>
        <v>97.500000000000156</v>
      </c>
      <c r="G142" s="80"/>
      <c r="H142" s="80"/>
      <c r="I142" s="19">
        <f>E142*50/C142</f>
        <v>1.5384615384615382E-2</v>
      </c>
      <c r="J142" s="85"/>
    </row>
    <row r="143" spans="1:11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6"/>
    </row>
    <row r="144" spans="1:11">
      <c r="A144" s="103">
        <v>26</v>
      </c>
      <c r="B144" s="81">
        <f>B142+7</f>
        <v>43828</v>
      </c>
      <c r="C144" s="20">
        <f>D142+G142-H142</f>
        <v>2842.3022124552272</v>
      </c>
      <c r="D144" s="17">
        <f>C144+(C144*0.03)</f>
        <v>2927.5712788288838</v>
      </c>
      <c r="E144" s="17">
        <f>C144/3250</f>
        <v>0.87455452690930069</v>
      </c>
      <c r="F144" s="28">
        <f>(D144-C144)/E144</f>
        <v>97.499999999999801</v>
      </c>
      <c r="G144" s="18"/>
      <c r="H144" s="18"/>
      <c r="I144" s="19">
        <f>E144*50/C144</f>
        <v>1.5384615384615385E-2</v>
      </c>
      <c r="J144" s="85"/>
    </row>
    <row r="145" spans="1:11">
      <c r="A145" s="104"/>
      <c r="B145" s="81">
        <f>B144+7</f>
        <v>43835</v>
      </c>
      <c r="C145" s="20">
        <f>D144+G144-H144</f>
        <v>2927.5712788288838</v>
      </c>
      <c r="D145" s="17">
        <f>C145+(C145*0.03)</f>
        <v>3015.3984171937504</v>
      </c>
      <c r="E145" s="17">
        <f>C145/3250</f>
        <v>0.90079116271657966</v>
      </c>
      <c r="F145" s="28">
        <f>(D145-C145)/E145</f>
        <v>97.500000000000142</v>
      </c>
      <c r="G145" s="18"/>
      <c r="H145" s="18"/>
      <c r="I145" s="19">
        <f>E145*50/C145</f>
        <v>1.5384615384615385E-2</v>
      </c>
      <c r="J145" s="85"/>
    </row>
    <row r="146" spans="1:11">
      <c r="A146" s="104"/>
      <c r="B146" s="81">
        <f>B145+7</f>
        <v>43842</v>
      </c>
      <c r="C146" s="20">
        <f>D145+G145-H145</f>
        <v>3015.3984171937504</v>
      </c>
      <c r="D146" s="17">
        <f>C146+(C146*0.03)</f>
        <v>3105.8603697095627</v>
      </c>
      <c r="E146" s="17">
        <f>C146/3250</f>
        <v>0.92781489759807712</v>
      </c>
      <c r="F146" s="28">
        <f>(D146-C146)/E146</f>
        <v>97.499999999999758</v>
      </c>
      <c r="G146" s="18"/>
      <c r="H146" s="18"/>
      <c r="I146" s="19">
        <f>E146*50/C146</f>
        <v>1.5384615384615385E-2</v>
      </c>
      <c r="J146" s="85"/>
    </row>
    <row r="147" spans="1:11" ht="13" thickBot="1">
      <c r="A147" s="105"/>
      <c r="B147" s="81">
        <f>B146+7</f>
        <v>43849</v>
      </c>
      <c r="C147" s="20">
        <f>D146+G146-H146</f>
        <v>3105.8603697095627</v>
      </c>
      <c r="D147" s="17">
        <f>C147+(C147*0.03)</f>
        <v>3199.0361808008497</v>
      </c>
      <c r="E147" s="17">
        <f>C147/3250</f>
        <v>0.95564934452601935</v>
      </c>
      <c r="F147" s="28">
        <f>(D147-C147)/E147</f>
        <v>97.500000000000071</v>
      </c>
      <c r="G147" s="80"/>
      <c r="H147" s="80"/>
      <c r="I147" s="19">
        <f>E147*50/C147</f>
        <v>1.5384615384615385E-2</v>
      </c>
      <c r="J147" s="85"/>
    </row>
    <row r="148" spans="1:11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6"/>
    </row>
    <row r="149" spans="1:11">
      <c r="A149" s="103">
        <v>26</v>
      </c>
      <c r="B149" s="81">
        <f>B147+7</f>
        <v>43856</v>
      </c>
      <c r="C149" s="20">
        <f>D147+G147-H147</f>
        <v>3199.0361808008497</v>
      </c>
      <c r="D149" s="17">
        <f>C149+(C149*0.03)</f>
        <v>3295.0072662248754</v>
      </c>
      <c r="E149" s="17">
        <f>C149/3250</f>
        <v>0.98431882486179989</v>
      </c>
      <c r="F149" s="28">
        <f>(D149-C149)/E149</f>
        <v>97.500000000000171</v>
      </c>
      <c r="G149" s="18"/>
      <c r="H149" s="18"/>
      <c r="I149" s="19">
        <f>E149*50/C149</f>
        <v>1.5384615384615384E-2</v>
      </c>
      <c r="J149" s="85"/>
    </row>
    <row r="150" spans="1:11">
      <c r="A150" s="104"/>
      <c r="B150" s="81">
        <f>B149+7</f>
        <v>43863</v>
      </c>
      <c r="C150" s="20">
        <f>D149+G149-H149</f>
        <v>3295.0072662248754</v>
      </c>
      <c r="D150" s="17">
        <f>C150+(C150*0.03)</f>
        <v>3393.8574842116218</v>
      </c>
      <c r="E150" s="17">
        <f>C150/3250</f>
        <v>1.013848389607654</v>
      </c>
      <c r="F150" s="28">
        <f>(D150-C150)/E150</f>
        <v>97.500000000000156</v>
      </c>
      <c r="G150" s="18"/>
      <c r="H150" s="18"/>
      <c r="I150" s="19">
        <f>E150*50/C150</f>
        <v>1.5384615384615384E-2</v>
      </c>
      <c r="J150" s="85"/>
    </row>
    <row r="151" spans="1:11">
      <c r="A151" s="104"/>
      <c r="B151" s="81">
        <f>B150+7</f>
        <v>43870</v>
      </c>
      <c r="C151" s="20">
        <f>D150+G150-H150</f>
        <v>3393.8574842116218</v>
      </c>
      <c r="D151" s="17">
        <f>C151+(C151*0.03)</f>
        <v>3495.6732087379705</v>
      </c>
      <c r="E151" s="17">
        <f>C151/3250</f>
        <v>1.0442638412958836</v>
      </c>
      <c r="F151" s="28">
        <f>(D151-C151)/E151</f>
        <v>97.500000000000085</v>
      </c>
      <c r="G151" s="18"/>
      <c r="H151" s="18"/>
      <c r="I151" s="19">
        <f>E151*50/C151</f>
        <v>1.5384615384615384E-2</v>
      </c>
      <c r="J151" s="85"/>
    </row>
    <row r="152" spans="1:11" ht="13.5" thickBot="1">
      <c r="A152" s="105"/>
      <c r="B152" s="81">
        <f>B151+7</f>
        <v>43877</v>
      </c>
      <c r="C152" s="20">
        <f>D151+G151-H151</f>
        <v>3495.6732087379705</v>
      </c>
      <c r="D152" s="17">
        <f>C152+(C152*0.03)</f>
        <v>3600.5434050001095</v>
      </c>
      <c r="E152" s="17">
        <f>C152/3250</f>
        <v>1.0755917565347601</v>
      </c>
      <c r="F152" s="28">
        <f>(D152-C152)/E152</f>
        <v>97.499999999999858</v>
      </c>
      <c r="G152" s="80"/>
      <c r="H152" s="80">
        <f>(D152-C139)*0.35</f>
        <v>376.31814604003682</v>
      </c>
      <c r="I152" s="19">
        <f>E152*50/C152</f>
        <v>1.5384615384615385E-2</v>
      </c>
      <c r="J152" s="85"/>
      <c r="K152" s="102" t="s">
        <v>49</v>
      </c>
    </row>
    <row r="153" spans="1:11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6"/>
    </row>
    <row r="154" spans="1:11">
      <c r="A154" s="103">
        <v>26</v>
      </c>
      <c r="B154" s="81">
        <f>B152+7</f>
        <v>43884</v>
      </c>
      <c r="C154" s="20">
        <f>D152+G152-H152</f>
        <v>3224.2252589600726</v>
      </c>
      <c r="D154" s="17">
        <f>C154+(C154*0.03)</f>
        <v>3320.9520167288747</v>
      </c>
      <c r="E154" s="17">
        <f>C154/3250</f>
        <v>0.99206931044925306</v>
      </c>
      <c r="F154" s="28">
        <f>(D154-C154)/E154</f>
        <v>97.499999999999972</v>
      </c>
      <c r="G154" s="18"/>
      <c r="H154" s="18"/>
      <c r="I154" s="19">
        <f>E154*50/C154</f>
        <v>1.5384615384615385E-2</v>
      </c>
      <c r="J154" s="85"/>
    </row>
    <row r="155" spans="1:11">
      <c r="A155" s="104"/>
      <c r="B155" s="81">
        <f>B154+7</f>
        <v>43891</v>
      </c>
      <c r="C155" s="20">
        <f>D154+G154-H154</f>
        <v>3320.9520167288747</v>
      </c>
      <c r="D155" s="17">
        <f>C155+(C155*0.03)</f>
        <v>3420.5805772307408</v>
      </c>
      <c r="E155" s="17">
        <f>C155/3250</f>
        <v>1.0218313897627307</v>
      </c>
      <c r="F155" s="28">
        <f>(D155-C155)/E155</f>
        <v>97.499999999999872</v>
      </c>
      <c r="G155" s="18"/>
      <c r="H155" s="18"/>
      <c r="I155" s="19">
        <f>E155*50/C155</f>
        <v>1.5384615384615385E-2</v>
      </c>
      <c r="J155" s="85"/>
    </row>
    <row r="156" spans="1:11">
      <c r="A156" s="104"/>
      <c r="B156" s="81">
        <f>B155+7</f>
        <v>43898</v>
      </c>
      <c r="C156" s="20">
        <f>D155+G155-H155</f>
        <v>3420.5805772307408</v>
      </c>
      <c r="D156" s="17">
        <f>C156+(C156*0.03)</f>
        <v>3523.1979945476628</v>
      </c>
      <c r="E156" s="17">
        <f>C156/3250</f>
        <v>1.0524863314556125</v>
      </c>
      <c r="F156" s="28">
        <f>(D156-C156)/E156</f>
        <v>97.499999999999787</v>
      </c>
      <c r="G156" s="18"/>
      <c r="H156" s="18"/>
      <c r="I156" s="19">
        <f>E156*50/C156</f>
        <v>1.5384615384615385E-2</v>
      </c>
      <c r="J156" s="85"/>
    </row>
    <row r="157" spans="1:11" ht="13" thickBot="1">
      <c r="A157" s="105"/>
      <c r="B157" s="81">
        <f>B156+7</f>
        <v>43905</v>
      </c>
      <c r="C157" s="20">
        <f>D156+G156-H156</f>
        <v>3523.1979945476628</v>
      </c>
      <c r="D157" s="17">
        <f>C157+(C157*0.03)</f>
        <v>3628.8939343840925</v>
      </c>
      <c r="E157" s="17">
        <f>C157/3250</f>
        <v>1.0840609213992809</v>
      </c>
      <c r="F157" s="28">
        <f>(D157-C157)/E157</f>
        <v>97.499999999999844</v>
      </c>
      <c r="G157" s="80"/>
      <c r="H157" s="80"/>
      <c r="I157" s="19">
        <f>E157*50/C157</f>
        <v>1.5384615384615385E-2</v>
      </c>
      <c r="J157" s="85"/>
    </row>
    <row r="158" spans="1:11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6"/>
    </row>
    <row r="159" spans="1:11">
      <c r="A159" s="103">
        <v>25</v>
      </c>
      <c r="B159" s="81">
        <f>B157+7</f>
        <v>43912</v>
      </c>
      <c r="C159" s="20">
        <f>D157+G157-H157</f>
        <v>3628.8939343840925</v>
      </c>
      <c r="D159" s="17">
        <f>C159+(C159*0.03)</f>
        <v>3737.7607524156151</v>
      </c>
      <c r="E159" s="17">
        <f>C159/3250</f>
        <v>1.1165827490412592</v>
      </c>
      <c r="F159" s="28">
        <f>(D159-C159)/E159</f>
        <v>97.499999999999844</v>
      </c>
      <c r="G159" s="17"/>
      <c r="H159" s="18"/>
      <c r="I159" s="19">
        <f>E159*50/C159</f>
        <v>1.5384615384615384E-2</v>
      </c>
      <c r="J159" s="85"/>
    </row>
    <row r="160" spans="1:11">
      <c r="A160" s="104"/>
      <c r="B160" s="81">
        <f>B159+7</f>
        <v>43919</v>
      </c>
      <c r="C160" s="20">
        <f>D159+G159-H159</f>
        <v>3737.7607524156151</v>
      </c>
      <c r="D160" s="17">
        <f>C160+(C160*0.03)</f>
        <v>3849.8935749880834</v>
      </c>
      <c r="E160" s="17">
        <f>C160/3250</f>
        <v>1.1500802315124969</v>
      </c>
      <c r="F160" s="28">
        <f>(D160-C160)/E160</f>
        <v>97.499999999999858</v>
      </c>
      <c r="G160" s="17"/>
      <c r="H160" s="18"/>
      <c r="I160" s="19">
        <f>E160*50/C160</f>
        <v>1.5384615384615384E-2</v>
      </c>
      <c r="J160" s="85"/>
    </row>
    <row r="161" spans="1:11">
      <c r="A161" s="104"/>
      <c r="B161" s="81">
        <f>B160+7</f>
        <v>43926</v>
      </c>
      <c r="C161" s="20">
        <f>D160+G160-H160</f>
        <v>3849.8935749880834</v>
      </c>
      <c r="D161" s="17">
        <f>C161+(C161*0.03)</f>
        <v>3965.390382237726</v>
      </c>
      <c r="E161" s="17">
        <f>C161/3250</f>
        <v>1.1845826384578717</v>
      </c>
      <c r="F161" s="28">
        <f>(D161-C161)/E161</f>
        <v>97.500000000000128</v>
      </c>
      <c r="G161" s="17"/>
      <c r="H161" s="18"/>
      <c r="I161" s="19">
        <f>E161*50/C161</f>
        <v>1.5384615384615384E-2</v>
      </c>
      <c r="J161" s="85"/>
    </row>
    <row r="162" spans="1:11" ht="13" thickBot="1">
      <c r="A162" s="105"/>
      <c r="B162" s="81">
        <f>B161+7</f>
        <v>43933</v>
      </c>
      <c r="C162" s="20">
        <f>D161+G161-H161</f>
        <v>3965.390382237726</v>
      </c>
      <c r="D162" s="17">
        <f>C162+(C162*0.03)</f>
        <v>4084.3520937048579</v>
      </c>
      <c r="E162" s="17">
        <f>C162/3250</f>
        <v>1.2201201176116081</v>
      </c>
      <c r="F162" s="28">
        <f>(D162-C162)/E162</f>
        <v>97.500000000000057</v>
      </c>
      <c r="G162" s="80"/>
      <c r="H162" s="80"/>
      <c r="I162" s="19">
        <f>E162*50/C162</f>
        <v>1.5384615384615385E-2</v>
      </c>
      <c r="J162" s="85"/>
    </row>
    <row r="163" spans="1:11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6"/>
    </row>
    <row r="164" spans="1:11">
      <c r="A164" s="103">
        <v>26</v>
      </c>
      <c r="B164" s="81">
        <f>B162+7</f>
        <v>43940</v>
      </c>
      <c r="C164" s="20">
        <f>D162+G162-H162</f>
        <v>4084.3520937048579</v>
      </c>
      <c r="D164" s="17">
        <f>C164+(C164*0.03)</f>
        <v>4206.8826565160034</v>
      </c>
      <c r="E164" s="17">
        <f>C164/3250</f>
        <v>1.2567237211399562</v>
      </c>
      <c r="F164" s="28">
        <f>(D164-C164)/E164</f>
        <v>97.499999999999815</v>
      </c>
      <c r="G164" s="18"/>
      <c r="H164" s="18"/>
      <c r="I164" s="19">
        <f>E164*50/C164</f>
        <v>1.5384615384615384E-2</v>
      </c>
      <c r="J164" s="85"/>
    </row>
    <row r="165" spans="1:11">
      <c r="A165" s="104"/>
      <c r="B165" s="81">
        <f>B164+7</f>
        <v>43947</v>
      </c>
      <c r="C165" s="20">
        <f>D164+G164-H164</f>
        <v>4206.8826565160034</v>
      </c>
      <c r="D165" s="17">
        <f>C165+(C165*0.03)</f>
        <v>4333.0891362114835</v>
      </c>
      <c r="E165" s="17">
        <f>C165/3250</f>
        <v>1.2944254327741549</v>
      </c>
      <c r="F165" s="28">
        <f>(D165-C165)/E165</f>
        <v>97.499999999999986</v>
      </c>
      <c r="G165" s="18"/>
      <c r="H165" s="18"/>
      <c r="I165" s="19">
        <f>E165*50/C165</f>
        <v>1.5384615384615385E-2</v>
      </c>
      <c r="J165" s="85"/>
    </row>
    <row r="166" spans="1:11">
      <c r="A166" s="104"/>
      <c r="B166" s="81">
        <f>B165+7</f>
        <v>43954</v>
      </c>
      <c r="C166" s="20">
        <f>D165+G165-H165</f>
        <v>4333.0891362114835</v>
      </c>
      <c r="D166" s="17">
        <f>C166+(C166*0.03)</f>
        <v>4463.0818102978283</v>
      </c>
      <c r="E166" s="17">
        <f>C166/3250</f>
        <v>1.3332581957573795</v>
      </c>
      <c r="F166" s="28">
        <f>(D166-C166)/E166</f>
        <v>97.500000000000213</v>
      </c>
      <c r="G166" s="18"/>
      <c r="H166" s="18"/>
      <c r="I166" s="19">
        <f>E166*50/C166</f>
        <v>1.5384615384615382E-2</v>
      </c>
      <c r="J166" s="85"/>
    </row>
    <row r="167" spans="1:11" ht="13.5" thickBot="1">
      <c r="A167" s="105"/>
      <c r="B167" s="81">
        <f>B166+7</f>
        <v>43961</v>
      </c>
      <c r="C167" s="20">
        <f>D166+G166-H166</f>
        <v>4463.0818102978283</v>
      </c>
      <c r="D167" s="17">
        <f>C167+(C167*0.03)</f>
        <v>4596.9742646067634</v>
      </c>
      <c r="E167" s="17">
        <f>C167/3250</f>
        <v>1.3732559416301009</v>
      </c>
      <c r="F167" s="28">
        <f>(D167-C167)/E167</f>
        <v>97.500000000000227</v>
      </c>
      <c r="G167" s="80"/>
      <c r="H167" s="80">
        <f>(D167-C154)*0.35</f>
        <v>480.46215197634177</v>
      </c>
      <c r="I167" s="19">
        <f>E167*50/C167</f>
        <v>1.5384615384615384E-2</v>
      </c>
      <c r="J167" s="85"/>
      <c r="K167" s="102" t="s">
        <v>49</v>
      </c>
    </row>
    <row r="168" spans="1:11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6"/>
    </row>
    <row r="169" spans="1:11">
      <c r="A169" s="103">
        <v>27</v>
      </c>
      <c r="B169" s="81">
        <f>B167+7</f>
        <v>43968</v>
      </c>
      <c r="C169" s="20">
        <f>D167+G167-H167</f>
        <v>4116.5121126304221</v>
      </c>
      <c r="D169" s="17">
        <f>C169+(C169*0.03)</f>
        <v>4240.0074760093348</v>
      </c>
      <c r="E169" s="17">
        <f>C169/3250</f>
        <v>1.2666191115785914</v>
      </c>
      <c r="F169" s="28">
        <f>(D169-C169)/E169</f>
        <v>97.500000000000085</v>
      </c>
      <c r="G169" s="18"/>
      <c r="H169" s="18"/>
      <c r="I169" s="19">
        <f>E169*50/C169</f>
        <v>1.5384615384615384E-2</v>
      </c>
      <c r="J169" s="85"/>
    </row>
    <row r="170" spans="1:11">
      <c r="A170" s="104"/>
      <c r="B170" s="81">
        <f>B169+7</f>
        <v>43975</v>
      </c>
      <c r="C170" s="20">
        <f>D169+G169-H169</f>
        <v>4240.0074760093348</v>
      </c>
      <c r="D170" s="17">
        <f>C170+(C170*0.03)</f>
        <v>4367.2077002896149</v>
      </c>
      <c r="E170" s="17">
        <f>C170/3250</f>
        <v>1.3046176849259492</v>
      </c>
      <c r="F170" s="28">
        <f>(D170-C170)/E170</f>
        <v>97.5</v>
      </c>
      <c r="G170" s="18"/>
      <c r="H170" s="18"/>
      <c r="I170" s="19">
        <f>E170*50/C170</f>
        <v>1.5384615384615385E-2</v>
      </c>
      <c r="J170" s="85"/>
    </row>
    <row r="171" spans="1:11">
      <c r="A171" s="104"/>
      <c r="B171" s="81">
        <f>B170+7</f>
        <v>43982</v>
      </c>
      <c r="C171" s="20">
        <f>D170+G170-H170</f>
        <v>4367.2077002896149</v>
      </c>
      <c r="D171" s="17">
        <f>C171+(C171*0.03)</f>
        <v>4498.2239312983029</v>
      </c>
      <c r="E171" s="17">
        <f>C171/3250</f>
        <v>1.3437562154737277</v>
      </c>
      <c r="F171" s="28">
        <f>(D171-C171)/E171</f>
        <v>97.499999999999673</v>
      </c>
      <c r="G171" s="18"/>
      <c r="H171" s="18"/>
      <c r="I171" s="19">
        <f>E171*50/C171</f>
        <v>1.5384615384615384E-2</v>
      </c>
      <c r="J171" s="85"/>
    </row>
    <row r="172" spans="1:11" ht="13" thickBot="1">
      <c r="A172" s="105"/>
      <c r="B172" s="81">
        <f>B171+7</f>
        <v>43989</v>
      </c>
      <c r="C172" s="20">
        <f>D171+G171-H171</f>
        <v>4498.2239312983029</v>
      </c>
      <c r="D172" s="17">
        <f>C172+(C172*0.03)</f>
        <v>4633.1706492372523</v>
      </c>
      <c r="E172" s="17">
        <f>C172/3250</f>
        <v>1.3840689019379393</v>
      </c>
      <c r="F172" s="28">
        <f>(D172-C172)/E172</f>
        <v>97.500000000000227</v>
      </c>
      <c r="G172" s="80"/>
      <c r="H172" s="80"/>
      <c r="I172" s="19">
        <f>E172*50/C172</f>
        <v>1.5384615384615385E-2</v>
      </c>
      <c r="J172" s="85"/>
    </row>
    <row r="173" spans="1:11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6"/>
    </row>
    <row r="174" spans="1:11">
      <c r="A174" s="103">
        <v>26</v>
      </c>
      <c r="B174" s="81">
        <f>B172+7</f>
        <v>43996</v>
      </c>
      <c r="C174" s="20">
        <f>D172+G172-H172</f>
        <v>4633.1706492372523</v>
      </c>
      <c r="D174" s="17">
        <f>C174+(C174*0.03)</f>
        <v>4772.1657687143697</v>
      </c>
      <c r="E174" s="17">
        <f>C174/3250</f>
        <v>1.4255909689960777</v>
      </c>
      <c r="F174" s="28">
        <f>(D174-C174)/E174</f>
        <v>97.499999999999901</v>
      </c>
      <c r="G174" s="18"/>
      <c r="H174" s="18"/>
      <c r="I174" s="19">
        <f>E174*50/C174</f>
        <v>1.5384615384615385E-2</v>
      </c>
      <c r="J174" s="85"/>
    </row>
    <row r="175" spans="1:11">
      <c r="A175" s="104"/>
      <c r="B175" s="81">
        <f>B174+7</f>
        <v>44003</v>
      </c>
      <c r="C175" s="20">
        <f>D174+G174-H174</f>
        <v>4772.1657687143697</v>
      </c>
      <c r="D175" s="17">
        <f>C175+(C175*0.03)</f>
        <v>4915.3307417758006</v>
      </c>
      <c r="E175" s="17">
        <f>C175/3250</f>
        <v>1.46835869806596</v>
      </c>
      <c r="F175" s="28">
        <f>(D175-C175)/E175</f>
        <v>97.499999999999815</v>
      </c>
      <c r="G175" s="18"/>
      <c r="H175" s="18"/>
      <c r="I175" s="19">
        <f>E175*50/C175</f>
        <v>1.5384615384615387E-2</v>
      </c>
      <c r="J175" s="85"/>
    </row>
    <row r="176" spans="1:11">
      <c r="A176" s="104"/>
      <c r="B176" s="81">
        <f>B175+7</f>
        <v>44010</v>
      </c>
      <c r="C176" s="20">
        <f>D175+G175-H175</f>
        <v>4915.3307417758006</v>
      </c>
      <c r="D176" s="17">
        <f>C176+(C176*0.03)</f>
        <v>5062.7906640290748</v>
      </c>
      <c r="E176" s="17">
        <f>C176/3250</f>
        <v>1.5124094590079387</v>
      </c>
      <c r="F176" s="28">
        <f>(D176-C176)/E176</f>
        <v>97.500000000000171</v>
      </c>
      <c r="G176" s="18"/>
      <c r="H176" s="18"/>
      <c r="I176" s="19">
        <f>E176*50/C176</f>
        <v>1.5384615384615384E-2</v>
      </c>
      <c r="J176" s="85"/>
    </row>
    <row r="177" spans="1:11" ht="13" thickBot="1">
      <c r="A177" s="105"/>
      <c r="B177" s="81">
        <f>B176+7</f>
        <v>44017</v>
      </c>
      <c r="C177" s="20">
        <f>D176+G176-H176</f>
        <v>5062.7906640290748</v>
      </c>
      <c r="D177" s="17">
        <f>C177+(C177*0.03)</f>
        <v>5214.6743839499468</v>
      </c>
      <c r="E177" s="17">
        <f>C177/3250</f>
        <v>1.5577817427781768</v>
      </c>
      <c r="F177" s="28">
        <f>(D177-C177)/E177</f>
        <v>97.499999999999815</v>
      </c>
      <c r="G177" s="80"/>
      <c r="H177" s="80"/>
      <c r="I177" s="19">
        <f>E177*50/C177</f>
        <v>1.5384615384615382E-2</v>
      </c>
      <c r="J177" s="85"/>
    </row>
    <row r="178" spans="1:11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6"/>
    </row>
    <row r="179" spans="1:11">
      <c r="A179" s="103">
        <v>26</v>
      </c>
      <c r="B179" s="81">
        <f>B177+7</f>
        <v>44024</v>
      </c>
      <c r="C179" s="20">
        <f>D177+G177-H177</f>
        <v>5214.6743839499468</v>
      </c>
      <c r="D179" s="17">
        <f>C179+(C179*0.03)</f>
        <v>5371.1146154684448</v>
      </c>
      <c r="E179" s="17">
        <f>C179/3250</f>
        <v>1.6045151950615222</v>
      </c>
      <c r="F179" s="28">
        <f>(D179-C179)/E179</f>
        <v>97.499999999999716</v>
      </c>
      <c r="G179" s="18"/>
      <c r="H179" s="18"/>
      <c r="I179" s="19">
        <f>E179*50/C179</f>
        <v>1.5384615384615385E-2</v>
      </c>
      <c r="J179" s="85"/>
    </row>
    <row r="180" spans="1:11">
      <c r="A180" s="104"/>
      <c r="B180" s="81">
        <f>B179+7</f>
        <v>44031</v>
      </c>
      <c r="C180" s="20">
        <f>D179+G179-H179</f>
        <v>5371.1146154684448</v>
      </c>
      <c r="D180" s="17">
        <f>C180+(C180*0.03)</f>
        <v>5532.2480539324979</v>
      </c>
      <c r="E180" s="17">
        <f>C180/3250</f>
        <v>1.6526506509133676</v>
      </c>
      <c r="F180" s="28">
        <f>(D180-C180)/E180</f>
        <v>97.499999999999886</v>
      </c>
      <c r="G180" s="18"/>
      <c r="H180" s="18"/>
      <c r="I180" s="19">
        <f>E180*50/C180</f>
        <v>1.5384615384615385E-2</v>
      </c>
      <c r="J180" s="85"/>
    </row>
    <row r="181" spans="1:11">
      <c r="A181" s="104"/>
      <c r="B181" s="81">
        <f>B180+7</f>
        <v>44038</v>
      </c>
      <c r="C181" s="20">
        <f>D180+G180-H180</f>
        <v>5532.2480539324979</v>
      </c>
      <c r="D181" s="17">
        <f>C181+(C181*0.03)</f>
        <v>5698.215495550473</v>
      </c>
      <c r="E181" s="17">
        <f>C181/3250</f>
        <v>1.7022301704407685</v>
      </c>
      <c r="F181" s="28">
        <f>(D181-C181)/E181</f>
        <v>97.500000000000071</v>
      </c>
      <c r="G181" s="18"/>
      <c r="H181" s="18"/>
      <c r="I181" s="19">
        <f>E181*50/C181</f>
        <v>1.5384615384615384E-2</v>
      </c>
      <c r="J181" s="85"/>
    </row>
    <row r="182" spans="1:11" ht="13.5" thickBot="1">
      <c r="A182" s="105"/>
      <c r="B182" s="81">
        <f>B181+7</f>
        <v>44045</v>
      </c>
      <c r="C182" s="20">
        <f>D181+G181-H181</f>
        <v>5698.215495550473</v>
      </c>
      <c r="D182" s="17">
        <f>C182+(C182*0.03)</f>
        <v>5869.1619604169873</v>
      </c>
      <c r="E182" s="17">
        <f>C182/3250</f>
        <v>1.7532970755539916</v>
      </c>
      <c r="F182" s="28">
        <f>(D182-C182)/E182</f>
        <v>97.500000000000099</v>
      </c>
      <c r="G182" s="80"/>
      <c r="H182" s="80">
        <f>(D182-C169)*0.35</f>
        <v>613.42744672529784</v>
      </c>
      <c r="I182" s="19">
        <f>E182*50/C182</f>
        <v>1.5384615384615384E-2</v>
      </c>
      <c r="J182" s="85"/>
      <c r="K182" s="102" t="s">
        <v>49</v>
      </c>
    </row>
    <row r="183" spans="1:11" ht="13" thickBot="1">
      <c r="A183" s="78"/>
      <c r="B183" s="13"/>
      <c r="C183" s="22"/>
      <c r="D183" s="23"/>
      <c r="E183" s="23"/>
      <c r="F183" s="27"/>
      <c r="G183" s="23"/>
      <c r="H183" s="10"/>
      <c r="I183" s="24"/>
      <c r="J183" s="86"/>
    </row>
    <row r="184" spans="1:11">
      <c r="A184" s="103">
        <v>26</v>
      </c>
      <c r="B184" s="81">
        <f>B182+7</f>
        <v>44052</v>
      </c>
      <c r="C184" s="20">
        <f>D182+G182-H182</f>
        <v>5255.7345136916892</v>
      </c>
      <c r="D184" s="17">
        <f>C184+(C184*0.03)</f>
        <v>5413.4065491024403</v>
      </c>
      <c r="E184" s="17">
        <f>C184/3250</f>
        <v>1.6171490811359044</v>
      </c>
      <c r="F184" s="28">
        <f>(D184-C184)/E184</f>
        <v>97.500000000000227</v>
      </c>
      <c r="G184" s="18"/>
      <c r="H184" s="18"/>
      <c r="I184" s="19">
        <f>E184*50/C184</f>
        <v>1.5384615384615385E-2</v>
      </c>
      <c r="J184" s="85"/>
    </row>
    <row r="185" spans="1:11">
      <c r="A185" s="104"/>
      <c r="B185" s="81">
        <f>B184+7</f>
        <v>44059</v>
      </c>
      <c r="C185" s="20">
        <f>D184+G184-H184</f>
        <v>5413.4065491024403</v>
      </c>
      <c r="D185" s="17">
        <f>C185+(C185*0.03)</f>
        <v>5575.8087455755131</v>
      </c>
      <c r="E185" s="17">
        <f>C185/3250</f>
        <v>1.6656635535699815</v>
      </c>
      <c r="F185" s="28">
        <f>(D185-C185)/E185</f>
        <v>97.499999999999744</v>
      </c>
      <c r="G185" s="18"/>
      <c r="H185" s="18"/>
      <c r="I185" s="19">
        <f>E185*50/C185</f>
        <v>1.5384615384615384E-2</v>
      </c>
      <c r="J185" s="85"/>
    </row>
    <row r="186" spans="1:11">
      <c r="A186" s="104"/>
      <c r="B186" s="81">
        <f>B185+7</f>
        <v>44066</v>
      </c>
      <c r="C186" s="20">
        <f>D185+G185-H185</f>
        <v>5575.8087455755131</v>
      </c>
      <c r="D186" s="17">
        <f>C186+(C186*0.03)</f>
        <v>5743.0830079427787</v>
      </c>
      <c r="E186" s="17">
        <f>C186/3250</f>
        <v>1.7156334601770808</v>
      </c>
      <c r="F186" s="28">
        <f>(D186-C186)/E186</f>
        <v>97.500000000000185</v>
      </c>
      <c r="G186" s="18"/>
      <c r="H186" s="18"/>
      <c r="I186" s="19">
        <f>E186*50/C186</f>
        <v>1.5384615384615384E-2</v>
      </c>
      <c r="J186" s="85"/>
    </row>
    <row r="187" spans="1:11" ht="13" thickBot="1">
      <c r="A187" s="105"/>
      <c r="B187" s="81">
        <f>B186+7</f>
        <v>44073</v>
      </c>
      <c r="C187" s="20">
        <f>D186+G186-H186</f>
        <v>5743.0830079427787</v>
      </c>
      <c r="D187" s="17">
        <f>C187+(C187*0.03)</f>
        <v>5915.3754981810625</v>
      </c>
      <c r="E187" s="17">
        <f>C187/3250</f>
        <v>1.7671024639823936</v>
      </c>
      <c r="F187" s="28">
        <f>(D187-C187)/E187</f>
        <v>97.500000000000242</v>
      </c>
      <c r="G187" s="80"/>
      <c r="H187" s="80"/>
      <c r="I187" s="19">
        <f>E187*50/C187</f>
        <v>1.5384615384615385E-2</v>
      </c>
      <c r="J187" s="85"/>
    </row>
    <row r="188" spans="1:11" ht="13" thickBot="1">
      <c r="A188" s="78"/>
      <c r="B188" s="13"/>
      <c r="C188" s="22"/>
      <c r="D188" s="23"/>
      <c r="E188" s="23"/>
      <c r="F188" s="27"/>
      <c r="G188" s="23"/>
      <c r="H188" s="10"/>
      <c r="I188" s="24"/>
      <c r="J188" s="86"/>
    </row>
    <row r="189" spans="1:11">
      <c r="A189" s="103">
        <v>26</v>
      </c>
      <c r="B189" s="81">
        <f>B187+7</f>
        <v>44080</v>
      </c>
      <c r="C189" s="20">
        <f>D187+G187-H187</f>
        <v>5915.3754981810625</v>
      </c>
      <c r="D189" s="17">
        <f>C189+(C189*0.03)</f>
        <v>6092.8367631264946</v>
      </c>
      <c r="E189" s="17">
        <f>C189/3250</f>
        <v>1.8201155379018654</v>
      </c>
      <c r="F189" s="28">
        <f>(D189-C189)/E189</f>
        <v>97.500000000000099</v>
      </c>
      <c r="G189" s="18"/>
      <c r="H189" s="18"/>
      <c r="I189" s="19">
        <f>E189*50/C189</f>
        <v>1.5384615384615385E-2</v>
      </c>
      <c r="J189" s="85"/>
    </row>
    <row r="190" spans="1:11">
      <c r="A190" s="104"/>
      <c r="B190" s="81">
        <f>B189+7</f>
        <v>44087</v>
      </c>
      <c r="C190" s="20">
        <f>D189+G189-H189</f>
        <v>6092.8367631264946</v>
      </c>
      <c r="D190" s="17">
        <f>C190+(C190*0.03)</f>
        <v>6275.6218660202894</v>
      </c>
      <c r="E190" s="17">
        <f>C190/3250</f>
        <v>1.8747190040389214</v>
      </c>
      <c r="F190" s="28">
        <f>(D190-C190)/E190</f>
        <v>97.5</v>
      </c>
      <c r="G190" s="18"/>
      <c r="H190" s="18"/>
      <c r="I190" s="19">
        <f>E190*50/C190</f>
        <v>1.5384615384615384E-2</v>
      </c>
      <c r="J190" s="85"/>
    </row>
    <row r="191" spans="1:11">
      <c r="A191" s="104"/>
      <c r="B191" s="81">
        <f>B190+7</f>
        <v>44094</v>
      </c>
      <c r="C191" s="20">
        <f>D190+G190-H190</f>
        <v>6275.6218660202894</v>
      </c>
      <c r="D191" s="17">
        <f>C191+(C191*0.03)</f>
        <v>6463.8905220008983</v>
      </c>
      <c r="E191" s="17">
        <f>C191/3250</f>
        <v>1.930960574160089</v>
      </c>
      <c r="F191" s="28">
        <f>(D191-C191)/E191</f>
        <v>97.500000000000085</v>
      </c>
      <c r="G191" s="18"/>
      <c r="H191" s="18"/>
      <c r="I191" s="19">
        <f>E191*50/C191</f>
        <v>1.5384615384615384E-2</v>
      </c>
      <c r="J191" s="85"/>
    </row>
    <row r="192" spans="1:11" ht="13.5" thickBot="1">
      <c r="A192" s="105"/>
      <c r="B192" s="81">
        <f>B191+7</f>
        <v>44101</v>
      </c>
      <c r="C192" s="20">
        <f>D191+G191-H191</f>
        <v>6463.8905220008983</v>
      </c>
      <c r="D192" s="17">
        <f>C192+(C192*0.03)</f>
        <v>6657.8072376609252</v>
      </c>
      <c r="E192" s="17">
        <f>C192/3250</f>
        <v>1.9888893913848917</v>
      </c>
      <c r="F192" s="28">
        <f>(D192-C192)/E192</f>
        <v>97.500000000000014</v>
      </c>
      <c r="G192" s="80"/>
      <c r="H192" s="80">
        <f>(D192-C184)*0.35</f>
        <v>490.72545338923254</v>
      </c>
      <c r="I192" s="19">
        <f>E192*50/C192</f>
        <v>1.5384615384615385E-2</v>
      </c>
      <c r="J192" s="85"/>
      <c r="K192" s="102" t="s">
        <v>49</v>
      </c>
    </row>
    <row r="193" spans="1:10" ht="13" thickBot="1">
      <c r="A193" s="78"/>
      <c r="B193" s="13"/>
      <c r="C193" s="22"/>
      <c r="D193" s="23"/>
      <c r="E193" s="23"/>
      <c r="F193" s="27"/>
      <c r="G193" s="23"/>
      <c r="H193" s="10"/>
      <c r="I193" s="24"/>
      <c r="J193" s="86"/>
    </row>
  </sheetData>
  <mergeCells count="39">
    <mergeCell ref="A14:A17"/>
    <mergeCell ref="B1:J1"/>
    <mergeCell ref="A4:A7"/>
    <mergeCell ref="A9:A12"/>
    <mergeCell ref="A19:A22"/>
    <mergeCell ref="A24:A27"/>
    <mergeCell ref="A29:A32"/>
    <mergeCell ref="A34:A37"/>
    <mergeCell ref="A39:A42"/>
    <mergeCell ref="A44:A47"/>
    <mergeCell ref="A49:A52"/>
    <mergeCell ref="A54:A57"/>
    <mergeCell ref="A59:A62"/>
    <mergeCell ref="A64:A67"/>
    <mergeCell ref="A69:A72"/>
    <mergeCell ref="A74:A77"/>
    <mergeCell ref="A79:A82"/>
    <mergeCell ref="A84:A87"/>
    <mergeCell ref="A89:A92"/>
    <mergeCell ref="A94:A97"/>
    <mergeCell ref="A99:A102"/>
    <mergeCell ref="A104:A107"/>
    <mergeCell ref="A109:A112"/>
    <mergeCell ref="A114:A117"/>
    <mergeCell ref="A119:A122"/>
    <mergeCell ref="A124:A127"/>
    <mergeCell ref="A129:A132"/>
    <mergeCell ref="A134:A137"/>
    <mergeCell ref="A139:A142"/>
    <mergeCell ref="A144:A147"/>
    <mergeCell ref="A184:A187"/>
    <mergeCell ref="A189:A192"/>
    <mergeCell ref="A169:A172"/>
    <mergeCell ref="A174:A177"/>
    <mergeCell ref="A149:A152"/>
    <mergeCell ref="A154:A157"/>
    <mergeCell ref="A159:A162"/>
    <mergeCell ref="A164:A167"/>
    <mergeCell ref="A179:A18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178"/>
  <sheetViews>
    <sheetView topLeftCell="A19" workbookViewId="0">
      <selection activeCell="C34" sqref="C34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1" width="61.6328125" style="75" bestFit="1" customWidth="1"/>
    <col min="12" max="16384" width="9.1796875" style="75"/>
  </cols>
  <sheetData>
    <row r="1" spans="1:10" ht="13.5" thickBot="1">
      <c r="B1" s="106"/>
      <c r="C1" s="107"/>
      <c r="D1" s="107"/>
      <c r="E1" s="107"/>
      <c r="F1" s="107"/>
      <c r="G1" s="107"/>
      <c r="H1" s="107"/>
      <c r="I1" s="107"/>
      <c r="J1" s="107"/>
    </row>
    <row r="2" spans="1:10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0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0">
      <c r="A4" s="103">
        <v>1</v>
      </c>
      <c r="B4" s="81">
        <v>42960</v>
      </c>
      <c r="C4" s="20">
        <v>1000</v>
      </c>
      <c r="D4" s="17">
        <f>C4+(C4*-0.02)</f>
        <v>980</v>
      </c>
      <c r="E4" s="17">
        <f>C4/3250</f>
        <v>0.30769230769230771</v>
      </c>
      <c r="F4" s="37">
        <f>(D4-C4)/E4</f>
        <v>-65</v>
      </c>
      <c r="G4" s="18"/>
      <c r="H4" s="18"/>
      <c r="I4" s="19">
        <f>E4*50/C4</f>
        <v>1.5384615384615385E-2</v>
      </c>
      <c r="J4" s="90">
        <f>(D4-C4)/C4</f>
        <v>-0.02</v>
      </c>
    </row>
    <row r="5" spans="1:10">
      <c r="A5" s="104"/>
      <c r="B5" s="81">
        <f>B4+7</f>
        <v>42967</v>
      </c>
      <c r="C5" s="20">
        <f>D4+G4-H4</f>
        <v>980</v>
      </c>
      <c r="D5" s="17">
        <f>C5+(C5*0.0596)</f>
        <v>1038.4079999999999</v>
      </c>
      <c r="E5" s="17">
        <f>C5/3250</f>
        <v>0.30153846153846153</v>
      </c>
      <c r="F5" s="34">
        <f>(D5-C5)/E5</f>
        <v>193.69999999999968</v>
      </c>
      <c r="G5" s="18"/>
      <c r="H5" s="18"/>
      <c r="I5" s="19">
        <f>E5*50/C5</f>
        <v>1.5384615384615384E-2</v>
      </c>
      <c r="J5" s="87">
        <f>(D5-C4)/C4</f>
        <v>3.8407999999999901E-2</v>
      </c>
    </row>
    <row r="6" spans="1:10">
      <c r="A6" s="104"/>
      <c r="B6" s="81">
        <f>B5+7</f>
        <v>42974</v>
      </c>
      <c r="C6" s="20">
        <f>D5+G5-H5</f>
        <v>1038.4079999999999</v>
      </c>
      <c r="D6" s="99">
        <f>C6+(C6*-0.0884)</f>
        <v>946.61273279999989</v>
      </c>
      <c r="E6" s="17">
        <f>C6/3250</f>
        <v>0.31951015384615383</v>
      </c>
      <c r="F6" s="95">
        <f>(D6-C6)/E6</f>
        <v>-287.30000000000007</v>
      </c>
      <c r="G6" s="18"/>
      <c r="H6" s="18"/>
      <c r="I6" s="19">
        <f>E6*50/C6</f>
        <v>1.5384615384615385E-2</v>
      </c>
      <c r="J6" s="90">
        <f>(D6-C4)/C4</f>
        <v>-5.3387267200000109E-2</v>
      </c>
    </row>
    <row r="7" spans="1:10" ht="13" thickBot="1">
      <c r="A7" s="105"/>
      <c r="B7" s="81">
        <f>B6+7</f>
        <v>42981</v>
      </c>
      <c r="C7" s="20">
        <f>D6+G6-H6</f>
        <v>946.61273279999989</v>
      </c>
      <c r="D7" s="99">
        <f>C7+(C7*-0.0583)</f>
        <v>891.42521047775995</v>
      </c>
      <c r="E7" s="17">
        <f>C7/5500</f>
        <v>0.17211140596363633</v>
      </c>
      <c r="F7" s="95">
        <f>(D7-C7)/E7</f>
        <v>-320.64999999999975</v>
      </c>
      <c r="G7" s="18"/>
      <c r="H7" s="18"/>
      <c r="I7" s="19">
        <f>E7*50/C7</f>
        <v>9.0909090909090905E-3</v>
      </c>
      <c r="J7" s="90">
        <f>(D7-C4)/C4</f>
        <v>-0.10857478952224005</v>
      </c>
    </row>
    <row r="8" spans="1:10" ht="13" thickBot="1">
      <c r="A8" s="78"/>
      <c r="B8" s="13"/>
      <c r="C8" s="22"/>
      <c r="D8" s="23"/>
      <c r="E8" s="23"/>
      <c r="F8" s="27"/>
      <c r="G8" s="23"/>
      <c r="H8" s="10"/>
      <c r="I8" s="24"/>
      <c r="J8" s="91"/>
    </row>
    <row r="9" spans="1:10">
      <c r="A9" s="103">
        <v>2</v>
      </c>
      <c r="B9" s="81">
        <f>B7+7</f>
        <v>42988</v>
      </c>
      <c r="C9" s="20">
        <f>D7+G7-H7</f>
        <v>891.42521047775995</v>
      </c>
      <c r="D9" s="21">
        <f>C9+(C9*0.1119)</f>
        <v>991.17569153022123</v>
      </c>
      <c r="E9" s="17">
        <f>C9/5500</f>
        <v>0.16207731099595635</v>
      </c>
      <c r="F9" s="101">
        <f>(D9-C9)/E9</f>
        <v>615.4499999999997</v>
      </c>
      <c r="G9" s="18"/>
      <c r="H9" s="18"/>
      <c r="I9" s="19">
        <f>E9*50/C9</f>
        <v>9.0909090909090905E-3</v>
      </c>
      <c r="J9" s="90">
        <f>(D9-C4)/C4</f>
        <v>-8.8243084697787709E-3</v>
      </c>
    </row>
    <row r="10" spans="1:10">
      <c r="A10" s="104"/>
      <c r="B10" s="81">
        <f>B9+7</f>
        <v>42995</v>
      </c>
      <c r="C10" s="20">
        <f>D9+G9-H9</f>
        <v>991.17569153022123</v>
      </c>
      <c r="D10" s="99">
        <f>C10+(C10*-0.073)</f>
        <v>918.81986604851511</v>
      </c>
      <c r="E10" s="17">
        <f>C10/5500</f>
        <v>0.18021376209640386</v>
      </c>
      <c r="F10" s="95">
        <f>(D10-C10)/E10</f>
        <v>-401.49999999999983</v>
      </c>
      <c r="G10" s="18"/>
      <c r="H10" s="18"/>
      <c r="I10" s="19">
        <f>E10*50/C10</f>
        <v>9.0909090909090922E-3</v>
      </c>
      <c r="J10" s="90">
        <f>(D10-C4)/C4</f>
        <v>-8.1180133951484892E-2</v>
      </c>
    </row>
    <row r="11" spans="1:10">
      <c r="A11" s="104"/>
      <c r="B11" s="81">
        <f>B10+7</f>
        <v>43002</v>
      </c>
      <c r="C11" s="20">
        <f>D10+G10-H10</f>
        <v>918.81986604851511</v>
      </c>
      <c r="D11" s="17">
        <f>C11+(C11*-0.0103)</f>
        <v>909.3560214282154</v>
      </c>
      <c r="E11" s="17">
        <f>C11/5500</f>
        <v>0.16705815746336639</v>
      </c>
      <c r="F11" s="37">
        <f>(D11-C11)/E11</f>
        <v>-56.650000000000027</v>
      </c>
      <c r="G11" s="18"/>
      <c r="H11" s="18"/>
      <c r="I11" s="19">
        <f>E11*50/C11</f>
        <v>9.0909090909090922E-3</v>
      </c>
      <c r="J11" s="90">
        <f>(D11-C4)/C4</f>
        <v>-9.0643978571784606E-2</v>
      </c>
    </row>
    <row r="12" spans="1:10" ht="13" thickBot="1">
      <c r="A12" s="105"/>
      <c r="B12" s="81">
        <f>B11+7</f>
        <v>43009</v>
      </c>
      <c r="C12" s="20">
        <f>D11+G11-H11</f>
        <v>909.3560214282154</v>
      </c>
      <c r="D12" s="99">
        <f>C12+(C12*-0.0544)</f>
        <v>859.88705386252047</v>
      </c>
      <c r="E12" s="17">
        <f>C12/5500</f>
        <v>0.1653374584414937</v>
      </c>
      <c r="F12" s="95">
        <f>(D12-C12)/E12</f>
        <v>-299.20000000000005</v>
      </c>
      <c r="G12" s="18"/>
      <c r="H12" s="18"/>
      <c r="I12" s="19">
        <f>E12*50/C12</f>
        <v>9.0909090909090905E-3</v>
      </c>
      <c r="J12" s="90">
        <f>(D12-C4)/C4</f>
        <v>-0.14011294613747952</v>
      </c>
    </row>
    <row r="13" spans="1:10" ht="13" thickBot="1">
      <c r="A13" s="78"/>
      <c r="B13" s="13"/>
      <c r="C13" s="22"/>
      <c r="D13" s="23"/>
      <c r="E13" s="23"/>
      <c r="F13" s="27"/>
      <c r="G13" s="23"/>
      <c r="H13" s="10"/>
      <c r="I13" s="24"/>
      <c r="J13" s="86"/>
    </row>
    <row r="14" spans="1:10">
      <c r="A14" s="103">
        <v>3</v>
      </c>
      <c r="B14" s="81">
        <f>B12+7</f>
        <v>43016</v>
      </c>
      <c r="C14" s="20">
        <f>D12+G12-H12</f>
        <v>859.88705386252047</v>
      </c>
      <c r="D14" s="17">
        <f>C14+(C14*-0.0579)</f>
        <v>810.09959344388051</v>
      </c>
      <c r="E14" s="17">
        <f>C14/3000</f>
        <v>0.2866290179541735</v>
      </c>
      <c r="F14" s="37">
        <f>(D14-C14)/E14</f>
        <v>-173.7000000000001</v>
      </c>
      <c r="G14" s="18"/>
      <c r="H14" s="18"/>
      <c r="I14" s="19">
        <f>E14*50/C14</f>
        <v>1.6666666666666666E-2</v>
      </c>
      <c r="J14" s="90">
        <f>(D14-C4)/C4</f>
        <v>-0.18990040655611951</v>
      </c>
    </row>
    <row r="15" spans="1:10">
      <c r="A15" s="104"/>
      <c r="B15" s="81">
        <f>B14+7</f>
        <v>43023</v>
      </c>
      <c r="C15" s="20">
        <f>D14+G14-H14</f>
        <v>810.09959344388051</v>
      </c>
      <c r="D15" s="21">
        <f>C15+(C15*0.0774)</f>
        <v>872.80130197643689</v>
      </c>
      <c r="E15" s="17">
        <f>C15/3000</f>
        <v>0.27003319781462681</v>
      </c>
      <c r="F15" s="101">
        <f>(D15-C15)/E15</f>
        <v>232.20000000000013</v>
      </c>
      <c r="G15" s="18"/>
      <c r="H15" s="18"/>
      <c r="I15" s="19">
        <f>E15*50/C15</f>
        <v>1.6666666666666666E-2</v>
      </c>
      <c r="J15" s="90">
        <f>(D15-C4)/C4</f>
        <v>-0.12719869802356312</v>
      </c>
    </row>
    <row r="16" spans="1:10">
      <c r="A16" s="104"/>
      <c r="B16" s="81">
        <f>B15+7</f>
        <v>43030</v>
      </c>
      <c r="C16" s="20">
        <f>D15+G15-H15</f>
        <v>872.80130197643689</v>
      </c>
      <c r="D16" s="21">
        <f>C16+(C16*0.0717)</f>
        <v>935.38115532814743</v>
      </c>
      <c r="E16" s="17">
        <f>C16/3000</f>
        <v>0.29093376732547899</v>
      </c>
      <c r="F16" s="101">
        <f>(D16-C16)/E16</f>
        <v>215.10000000000002</v>
      </c>
      <c r="G16" s="18"/>
      <c r="H16" s="18"/>
      <c r="I16" s="19">
        <f>E16*50/C16</f>
        <v>1.6666666666666666E-2</v>
      </c>
      <c r="J16" s="90">
        <f>(D16-C4)/C4</f>
        <v>-6.4618844671852568E-2</v>
      </c>
    </row>
    <row r="17" spans="1:11" ht="13.5" thickBot="1">
      <c r="A17" s="105"/>
      <c r="B17" s="81">
        <f>B16+7</f>
        <v>43037</v>
      </c>
      <c r="C17" s="20">
        <f>D16+G16-H16</f>
        <v>935.38115532814743</v>
      </c>
      <c r="D17" s="21">
        <f>C17+(C17*0.09)</f>
        <v>1019.5654593076807</v>
      </c>
      <c r="E17" s="17">
        <f>C17/3000</f>
        <v>0.31179371844271581</v>
      </c>
      <c r="F17" s="101">
        <f>(D17-C17)/E17</f>
        <v>270.00000000000011</v>
      </c>
      <c r="G17" s="18"/>
      <c r="H17" s="80">
        <f>(D17-C4)*0.3</f>
        <v>5.8696377923042178</v>
      </c>
      <c r="I17" s="19">
        <f>E17*50/C17</f>
        <v>1.6666666666666666E-2</v>
      </c>
      <c r="J17" s="87">
        <f>(C19-C4)/C4</f>
        <v>1.3695821515376565E-2</v>
      </c>
      <c r="K17" s="102" t="s">
        <v>48</v>
      </c>
    </row>
    <row r="18" spans="1:11" ht="13" thickBot="1">
      <c r="A18" s="78"/>
      <c r="B18" s="13"/>
      <c r="C18" s="22"/>
      <c r="D18" s="23"/>
      <c r="E18" s="23"/>
      <c r="F18" s="27"/>
      <c r="G18" s="23"/>
      <c r="H18" s="10"/>
      <c r="I18" s="24"/>
      <c r="J18" s="86"/>
    </row>
    <row r="19" spans="1:11">
      <c r="A19" s="103">
        <v>4</v>
      </c>
      <c r="B19" s="81">
        <f>B17+7</f>
        <v>43044</v>
      </c>
      <c r="C19" s="20">
        <f>D17+G17-H17</f>
        <v>1013.6958215153766</v>
      </c>
      <c r="D19" s="17">
        <f>C19+(C19*-0.0353)</f>
        <v>977.91235901588379</v>
      </c>
      <c r="E19" s="17">
        <f>C19/3000</f>
        <v>0.33789860717179221</v>
      </c>
      <c r="F19" s="37">
        <f>(D19-C19)/E19</f>
        <v>-105.89999999999993</v>
      </c>
      <c r="G19" s="18"/>
      <c r="H19" s="18"/>
      <c r="I19" s="19">
        <f>E19*50/C19</f>
        <v>1.666666666666667E-2</v>
      </c>
      <c r="J19" s="90">
        <f>(D19-C4)/C4</f>
        <v>-2.2087640984116207E-2</v>
      </c>
    </row>
    <row r="20" spans="1:11">
      <c r="A20" s="104"/>
      <c r="B20" s="81">
        <f>B19+7</f>
        <v>43051</v>
      </c>
      <c r="C20" s="20">
        <f>D19+G19-H19</f>
        <v>977.91235901588379</v>
      </c>
      <c r="D20" s="99">
        <f>C20+(C20*-0.1562)</f>
        <v>825.1624485376027</v>
      </c>
      <c r="E20" s="17">
        <f>C20/3000</f>
        <v>0.32597078633862792</v>
      </c>
      <c r="F20" s="95">
        <f>(D20-C20)/E20</f>
        <v>-468.60000000000014</v>
      </c>
      <c r="G20" s="18"/>
      <c r="H20" s="18"/>
      <c r="I20" s="19">
        <f>E20*50/C20</f>
        <v>1.6666666666666666E-2</v>
      </c>
      <c r="J20" s="90">
        <f>(D20-C4)/C4</f>
        <v>-0.17483755146239729</v>
      </c>
    </row>
    <row r="21" spans="1:11">
      <c r="A21" s="104"/>
      <c r="B21" s="81">
        <f>B20+7</f>
        <v>43058</v>
      </c>
      <c r="C21" s="20">
        <f>D20+G20-H20</f>
        <v>825.1624485376027</v>
      </c>
      <c r="D21" s="21">
        <f>C21+(C21*0.081)</f>
        <v>892.00060686914856</v>
      </c>
      <c r="E21" s="17">
        <f>C21/2500</f>
        <v>0.33006497941504109</v>
      </c>
      <c r="F21" s="101">
        <f>(D21-C21)/E21</f>
        <v>202.50000000000011</v>
      </c>
      <c r="G21" s="18"/>
      <c r="H21" s="18"/>
      <c r="I21" s="19">
        <f>E21*50/C21</f>
        <v>0.02</v>
      </c>
      <c r="J21" s="90">
        <f>(D21-C4)/C4</f>
        <v>-0.10799939313085144</v>
      </c>
    </row>
    <row r="22" spans="1:11" ht="13" thickBot="1">
      <c r="A22" s="105"/>
      <c r="B22" s="81">
        <f>B21+7</f>
        <v>43065</v>
      </c>
      <c r="C22" s="20">
        <f>D21+G21-H21</f>
        <v>892.00060686914856</v>
      </c>
      <c r="D22" s="17">
        <f>C22+(C22*-0.0343)</f>
        <v>861.40498605353673</v>
      </c>
      <c r="E22" s="17">
        <f>C22/2500</f>
        <v>0.35680024274765942</v>
      </c>
      <c r="F22" s="37">
        <f>(D22-C22)/E22</f>
        <v>-85.750000000000085</v>
      </c>
      <c r="G22" s="18"/>
      <c r="H22" s="18"/>
      <c r="I22" s="19">
        <f>E22*50/C22</f>
        <v>0.02</v>
      </c>
      <c r="J22" s="90">
        <f>(D22-C4)/C4</f>
        <v>-0.13859501394646326</v>
      </c>
    </row>
    <row r="23" spans="1:11" ht="13" thickBot="1">
      <c r="A23" s="78"/>
      <c r="B23" s="13"/>
      <c r="C23" s="22"/>
      <c r="D23" s="23"/>
      <c r="E23" s="23"/>
      <c r="F23" s="27"/>
      <c r="G23" s="23"/>
      <c r="H23" s="10"/>
      <c r="I23" s="24"/>
      <c r="J23" s="86"/>
    </row>
    <row r="24" spans="1:11">
      <c r="A24" s="103">
        <v>5</v>
      </c>
      <c r="B24" s="81">
        <f>B22+7</f>
        <v>43072</v>
      </c>
      <c r="C24" s="20">
        <f>D22+G22-H22</f>
        <v>861.40498605353673</v>
      </c>
      <c r="D24" s="21">
        <f>C24+(C24*0.10018)</f>
        <v>947.70053755638003</v>
      </c>
      <c r="E24" s="17">
        <f>C24/3250</f>
        <v>0.26504768801647283</v>
      </c>
      <c r="F24" s="101">
        <f>(D24-C24)/E24</f>
        <v>325.58499999999998</v>
      </c>
      <c r="G24" s="18"/>
      <c r="H24" s="18"/>
      <c r="I24" s="19">
        <f>E24*50/C24</f>
        <v>1.5384615384615384E-2</v>
      </c>
      <c r="J24" s="90">
        <f>(D24-C4)/C4</f>
        <v>-5.2299462443619972E-2</v>
      </c>
    </row>
    <row r="25" spans="1:11">
      <c r="A25" s="104"/>
      <c r="B25" s="81">
        <f>B24+7</f>
        <v>43079</v>
      </c>
      <c r="C25" s="20">
        <f>D24+G24-H24</f>
        <v>947.70053755638003</v>
      </c>
      <c r="D25" s="17">
        <f>C25+(C25*0.0214)</f>
        <v>967.98132906008652</v>
      </c>
      <c r="E25" s="17">
        <f>C25/3250</f>
        <v>0.2916001654019631</v>
      </c>
      <c r="F25" s="34">
        <f>(D25-C25)/E25</f>
        <v>69.549999999999869</v>
      </c>
      <c r="G25" s="18"/>
      <c r="H25" s="18"/>
      <c r="I25" s="19">
        <f>E25*50/C25</f>
        <v>1.5384615384615385E-2</v>
      </c>
      <c r="J25" s="90">
        <f>(D25-C4)/C4</f>
        <v>-3.2018670939913479E-2</v>
      </c>
    </row>
    <row r="26" spans="1:11">
      <c r="A26" s="104"/>
      <c r="B26" s="81">
        <f>B25+7</f>
        <v>43086</v>
      </c>
      <c r="C26" s="20">
        <f>D25+G25-H25</f>
        <v>967.98132906008652</v>
      </c>
      <c r="D26" s="17">
        <f>C26+(C26*0.0087)</f>
        <v>976.40276662290933</v>
      </c>
      <c r="E26" s="17">
        <f>C26/3250</f>
        <v>0.2978404089415651</v>
      </c>
      <c r="F26" s="34">
        <f>(D26-C26)/E26</f>
        <v>28.275000000000166</v>
      </c>
      <c r="G26" s="18"/>
      <c r="H26" s="18"/>
      <c r="I26" s="19">
        <f>E26*50/C26</f>
        <v>1.5384615384615385E-2</v>
      </c>
      <c r="J26" s="90">
        <f>(D26-C4)/C4</f>
        <v>-2.3597233377090673E-2</v>
      </c>
    </row>
    <row r="27" spans="1:11" ht="13" thickBot="1">
      <c r="A27" s="105"/>
      <c r="B27" s="81">
        <f>B26+7</f>
        <v>43093</v>
      </c>
      <c r="C27" s="20">
        <f>D26+G26-H26</f>
        <v>976.40276662290933</v>
      </c>
      <c r="D27" s="17">
        <f>C27+(C27*0)</f>
        <v>976.40276662290933</v>
      </c>
      <c r="E27" s="17">
        <f>C27/3250</f>
        <v>0.30043162049935673</v>
      </c>
      <c r="F27" s="37">
        <f>(D27-C27)/E27</f>
        <v>0</v>
      </c>
      <c r="G27" s="18"/>
      <c r="H27" s="18"/>
      <c r="I27" s="19">
        <f>E27*50/C27</f>
        <v>1.5384615384615385E-2</v>
      </c>
      <c r="J27" s="90">
        <f>(D27-C4)/C4</f>
        <v>-2.3597233377090673E-2</v>
      </c>
    </row>
    <row r="28" spans="1:11" ht="13" thickBot="1">
      <c r="A28" s="78"/>
      <c r="B28" s="13"/>
      <c r="C28" s="22"/>
      <c r="D28" s="23"/>
      <c r="E28" s="23"/>
      <c r="F28" s="97"/>
      <c r="G28" s="23"/>
      <c r="H28" s="10"/>
      <c r="I28" s="24"/>
      <c r="J28" s="86"/>
    </row>
    <row r="29" spans="1:11">
      <c r="A29" s="103">
        <v>6</v>
      </c>
      <c r="B29" s="81">
        <f>B27+7</f>
        <v>43100</v>
      </c>
      <c r="C29" s="20">
        <f>D27+G27-H27</f>
        <v>976.40276662290933</v>
      </c>
      <c r="D29" s="17">
        <f>C29+(C29*0)</f>
        <v>976.40276662290933</v>
      </c>
      <c r="E29" s="17">
        <f>C29/3250</f>
        <v>0.30043162049935673</v>
      </c>
      <c r="F29" s="37">
        <f>(D29-C29)/E29</f>
        <v>0</v>
      </c>
      <c r="G29" s="18"/>
      <c r="H29" s="18"/>
      <c r="I29" s="19">
        <f>E29*50/C29</f>
        <v>1.5384615384615385E-2</v>
      </c>
      <c r="J29" s="90">
        <f>(D29-C4)/C4</f>
        <v>-2.3597233377090673E-2</v>
      </c>
    </row>
    <row r="30" spans="1:11">
      <c r="A30" s="104"/>
      <c r="B30" s="81">
        <f>B29+7</f>
        <v>43107</v>
      </c>
      <c r="C30" s="20">
        <f>D29+G29-H29</f>
        <v>976.40276662290933</v>
      </c>
      <c r="D30" s="17">
        <f>C30+(C30*-0.0579)</f>
        <v>919.8690464354429</v>
      </c>
      <c r="E30" s="17">
        <f>C30/3250</f>
        <v>0.30043162049935673</v>
      </c>
      <c r="F30" s="37">
        <f>(D30-C30)/E30</f>
        <v>-188.17499999999993</v>
      </c>
      <c r="G30" s="18"/>
      <c r="H30" s="18"/>
      <c r="I30" s="19">
        <f>E30*50/C30</f>
        <v>1.5384615384615385E-2</v>
      </c>
      <c r="J30" s="90">
        <f>(D30-C5)/C5</f>
        <v>-6.1358115882201122E-2</v>
      </c>
    </row>
    <row r="31" spans="1:11">
      <c r="A31" s="104"/>
      <c r="B31" s="81">
        <f>B30+7</f>
        <v>43114</v>
      </c>
      <c r="C31" s="20">
        <f>D30+G30-H30</f>
        <v>919.8690464354429</v>
      </c>
      <c r="D31" s="99">
        <f>C31+(C31*-0.1565)</f>
        <v>775.90954066829613</v>
      </c>
      <c r="E31" s="17">
        <f>C31/3250</f>
        <v>0.28303662967244397</v>
      </c>
      <c r="F31" s="95">
        <f>(D31-C31)/E31</f>
        <v>-508.62499999999983</v>
      </c>
      <c r="G31" s="18"/>
      <c r="H31" s="18"/>
      <c r="I31" s="19">
        <f>E31*50/C31</f>
        <v>1.5384615384615384E-2</v>
      </c>
      <c r="J31" s="90">
        <f>(D31-C4)/C4</f>
        <v>-0.22409045933170388</v>
      </c>
    </row>
    <row r="32" spans="1:11" ht="13.5" thickBot="1">
      <c r="A32" s="105"/>
      <c r="B32" s="81">
        <f>B31+7</f>
        <v>43121</v>
      </c>
      <c r="C32" s="20">
        <f>D31+G31-H31</f>
        <v>775.90954066829613</v>
      </c>
      <c r="D32" s="99">
        <f>C32+(C32*-0.2248)</f>
        <v>601.48507592606313</v>
      </c>
      <c r="E32" s="17">
        <f>C32/3250</f>
        <v>0.23874139712870651</v>
      </c>
      <c r="F32" s="95">
        <f>(D32-C32)/E32</f>
        <v>-730.60000000000014</v>
      </c>
      <c r="G32" s="18"/>
      <c r="H32" s="80">
        <f>(D32-C19)*0.35</f>
        <v>-144.27376095625968</v>
      </c>
      <c r="I32" s="19">
        <f>E32*50/C32</f>
        <v>1.5384615384615385E-2</v>
      </c>
      <c r="J32" s="93">
        <f>(D32-C4)/C4</f>
        <v>-0.39851492407393685</v>
      </c>
      <c r="K32" s="102" t="s">
        <v>49</v>
      </c>
    </row>
    <row r="33" spans="1:11" ht="13" thickBot="1">
      <c r="A33" s="78"/>
      <c r="B33" s="13"/>
      <c r="C33" s="22"/>
      <c r="D33" s="23"/>
      <c r="E33" s="23"/>
      <c r="F33" s="27"/>
      <c r="G33" s="23"/>
      <c r="H33" s="10"/>
      <c r="I33" s="24"/>
      <c r="J33" s="86"/>
    </row>
    <row r="34" spans="1:11" ht="14.5">
      <c r="A34" s="103">
        <v>7</v>
      </c>
      <c r="B34" s="81">
        <f>B32+7</f>
        <v>43128</v>
      </c>
      <c r="C34" s="32">
        <f>D32+G32-H32</f>
        <v>745.75883688232284</v>
      </c>
      <c r="D34" s="17">
        <f>C34+(C34*0.03)</f>
        <v>768.13160198879257</v>
      </c>
      <c r="E34" s="17">
        <f>C34/3250</f>
        <v>0.22946425750225319</v>
      </c>
      <c r="F34" s="28">
        <f>(D34-C34)/E34</f>
        <v>97.500000000000185</v>
      </c>
      <c r="G34" s="18"/>
      <c r="H34" s="18"/>
      <c r="I34" s="19">
        <f>E34*50/C34</f>
        <v>1.5384615384615385E-2</v>
      </c>
      <c r="J34" s="85"/>
    </row>
    <row r="35" spans="1:11">
      <c r="A35" s="104"/>
      <c r="B35" s="81">
        <f>B34+7</f>
        <v>43135</v>
      </c>
      <c r="C35" s="20">
        <f>D34+G34-H34</f>
        <v>768.13160198879257</v>
      </c>
      <c r="D35" s="17">
        <f>C35+(C35*0.03)</f>
        <v>791.17555004845633</v>
      </c>
      <c r="E35" s="17">
        <f>C35/3250</f>
        <v>0.23634818522732079</v>
      </c>
      <c r="F35" s="28">
        <f>(D35-C35)/E35</f>
        <v>97.499999999999943</v>
      </c>
      <c r="G35" s="18"/>
      <c r="H35" s="18"/>
      <c r="I35" s="19">
        <f>E35*50/C35</f>
        <v>1.5384615384615385E-2</v>
      </c>
      <c r="J35" s="85"/>
    </row>
    <row r="36" spans="1:11">
      <c r="A36" s="104"/>
      <c r="B36" s="81">
        <f>B35+7</f>
        <v>43142</v>
      </c>
      <c r="C36" s="20">
        <f>D35+G35-H35</f>
        <v>791.17555004845633</v>
      </c>
      <c r="D36" s="17">
        <f>C36+(C36*0.03)</f>
        <v>814.91081654991001</v>
      </c>
      <c r="E36" s="17">
        <f>C36/3250</f>
        <v>0.24343863078414041</v>
      </c>
      <c r="F36" s="28">
        <f>(D36-C36)/E36</f>
        <v>97.499999999999957</v>
      </c>
      <c r="G36" s="18"/>
      <c r="H36" s="18"/>
      <c r="I36" s="19">
        <f>E36*50/C36</f>
        <v>1.5384615384615385E-2</v>
      </c>
      <c r="J36" s="85"/>
    </row>
    <row r="37" spans="1:11" ht="13" thickBot="1">
      <c r="A37" s="105"/>
      <c r="B37" s="81">
        <f>B36+7</f>
        <v>43149</v>
      </c>
      <c r="C37" s="20">
        <f>D36+G36-H36</f>
        <v>814.91081654991001</v>
      </c>
      <c r="D37" s="17">
        <f>C37+(C37*0.03)</f>
        <v>839.35814104640735</v>
      </c>
      <c r="E37" s="17">
        <f>C37/3250</f>
        <v>0.25074178970766464</v>
      </c>
      <c r="F37" s="28">
        <f>(D37-C37)/E37</f>
        <v>97.500000000000171</v>
      </c>
      <c r="G37" s="18"/>
      <c r="H37" s="80"/>
      <c r="I37" s="19">
        <f>E37*50/C37</f>
        <v>1.5384615384615385E-2</v>
      </c>
      <c r="J37" s="85"/>
    </row>
    <row r="38" spans="1:11" ht="13" thickBot="1">
      <c r="A38" s="78"/>
      <c r="B38" s="13"/>
      <c r="C38" s="22"/>
      <c r="D38" s="23"/>
      <c r="E38" s="23"/>
      <c r="F38" s="27"/>
      <c r="G38" s="23"/>
      <c r="H38" s="10"/>
      <c r="I38" s="24"/>
      <c r="J38" s="86"/>
    </row>
    <row r="39" spans="1:11">
      <c r="A39" s="103">
        <v>8</v>
      </c>
      <c r="B39" s="81">
        <f>B37+7</f>
        <v>43156</v>
      </c>
      <c r="C39" s="20">
        <f>D37+G37-H37</f>
        <v>839.35814104640735</v>
      </c>
      <c r="D39" s="17">
        <f>C39+(C39*0.03)</f>
        <v>864.53888527779952</v>
      </c>
      <c r="E39" s="17">
        <f>C39/3250</f>
        <v>0.25826404339889458</v>
      </c>
      <c r="F39" s="28">
        <f>(D39-C39)/E39</f>
        <v>97.499999999999787</v>
      </c>
      <c r="G39" s="18"/>
      <c r="H39" s="18"/>
      <c r="I39" s="19">
        <f>E39*50/C39</f>
        <v>1.5384615384615385E-2</v>
      </c>
      <c r="J39" s="85"/>
    </row>
    <row r="40" spans="1:11">
      <c r="A40" s="104"/>
      <c r="B40" s="81">
        <f>B39+7</f>
        <v>43163</v>
      </c>
      <c r="C40" s="20">
        <f>D39+G39-H39</f>
        <v>864.53888527779952</v>
      </c>
      <c r="D40" s="17">
        <f>C40+(C40*0.03)</f>
        <v>890.4750518361335</v>
      </c>
      <c r="E40" s="17">
        <f>C40/3250</f>
        <v>0.26601196470086141</v>
      </c>
      <c r="F40" s="28">
        <f>(D40-C40)/E40</f>
        <v>97.499999999999972</v>
      </c>
      <c r="G40" s="18"/>
      <c r="H40" s="18"/>
      <c r="I40" s="19">
        <f>E40*50/C40</f>
        <v>1.5384615384615385E-2</v>
      </c>
      <c r="J40" s="85"/>
    </row>
    <row r="41" spans="1:11">
      <c r="A41" s="104"/>
      <c r="B41" s="81">
        <f>B40+7</f>
        <v>43170</v>
      </c>
      <c r="C41" s="20">
        <f>D40+G40-H40</f>
        <v>890.4750518361335</v>
      </c>
      <c r="D41" s="17">
        <f>C41+(C41*0.03)</f>
        <v>917.18930339121755</v>
      </c>
      <c r="E41" s="17">
        <f>C41/3250</f>
        <v>0.27399232364188725</v>
      </c>
      <c r="F41" s="28">
        <f>(D41-C41)/E41</f>
        <v>97.500000000000142</v>
      </c>
      <c r="G41" s="18"/>
      <c r="H41" s="18"/>
      <c r="I41" s="19">
        <f>E41*50/C41</f>
        <v>1.5384615384615385E-2</v>
      </c>
      <c r="J41" s="85"/>
    </row>
    <row r="42" spans="1:11" ht="13" thickBot="1">
      <c r="A42" s="105"/>
      <c r="B42" s="81">
        <f>B41+7</f>
        <v>43177</v>
      </c>
      <c r="C42" s="20">
        <f>D41+G41-H41</f>
        <v>917.18930339121755</v>
      </c>
      <c r="D42" s="17">
        <f>C42+(C42*0.03)</f>
        <v>944.70498249295406</v>
      </c>
      <c r="E42" s="17">
        <f>C42/3250</f>
        <v>0.28221209335114389</v>
      </c>
      <c r="F42" s="28">
        <f>(D42-C42)/E42</f>
        <v>97.499999999999929</v>
      </c>
      <c r="G42" s="18"/>
      <c r="H42" s="80"/>
      <c r="I42" s="19">
        <f>E42*50/C42</f>
        <v>1.5384615384615385E-2</v>
      </c>
      <c r="J42" s="85"/>
    </row>
    <row r="43" spans="1:11" ht="13" thickBot="1">
      <c r="A43" s="78"/>
      <c r="B43" s="13"/>
      <c r="C43" s="22"/>
      <c r="D43" s="23"/>
      <c r="E43" s="23"/>
      <c r="F43" s="27"/>
      <c r="G43" s="23"/>
      <c r="H43" s="10"/>
      <c r="I43" s="24"/>
      <c r="J43" s="86"/>
    </row>
    <row r="44" spans="1:11">
      <c r="A44" s="103">
        <v>9</v>
      </c>
      <c r="B44" s="81">
        <f>B42+7</f>
        <v>43184</v>
      </c>
      <c r="C44" s="20">
        <f>D42+G42-H42</f>
        <v>944.70498249295406</v>
      </c>
      <c r="D44" s="17">
        <f>C44+(C44*0.03)</f>
        <v>973.04613196774267</v>
      </c>
      <c r="E44" s="17">
        <f>C44/3250</f>
        <v>0.2906784561516782</v>
      </c>
      <c r="F44" s="28">
        <f>(D44-C44)/E44</f>
        <v>97.499999999999943</v>
      </c>
      <c r="G44" s="18"/>
      <c r="H44" s="18"/>
      <c r="I44" s="19">
        <f>E44*50/C44</f>
        <v>1.5384615384615385E-2</v>
      </c>
      <c r="J44" s="85"/>
    </row>
    <row r="45" spans="1:11">
      <c r="A45" s="104"/>
      <c r="B45" s="81">
        <f>B44+7</f>
        <v>43191</v>
      </c>
      <c r="C45" s="20">
        <f>D44+G44-H44</f>
        <v>973.04613196774267</v>
      </c>
      <c r="D45" s="17">
        <f>C45+(C45*0.03)</f>
        <v>1002.2375159267749</v>
      </c>
      <c r="E45" s="17">
        <f>C45/3250</f>
        <v>0.29939880983622852</v>
      </c>
      <c r="F45" s="28">
        <f>(D45-C45)/E45</f>
        <v>97.499999999999858</v>
      </c>
      <c r="G45" s="18"/>
      <c r="H45" s="18"/>
      <c r="I45" s="19">
        <f>E45*50/C45</f>
        <v>1.5384615384615385E-2</v>
      </c>
      <c r="J45" s="85"/>
    </row>
    <row r="46" spans="1:11">
      <c r="A46" s="104"/>
      <c r="B46" s="81">
        <f>B45+7</f>
        <v>43198</v>
      </c>
      <c r="C46" s="20">
        <f>D45+G45-H45</f>
        <v>1002.2375159267749</v>
      </c>
      <c r="D46" s="17">
        <f>C46+(C46*0.03)</f>
        <v>1032.3046414045782</v>
      </c>
      <c r="E46" s="17">
        <f>C46/3250</f>
        <v>0.30838077413131537</v>
      </c>
      <c r="F46" s="28">
        <f>(D46-C46)/E46</f>
        <v>97.500000000000171</v>
      </c>
      <c r="G46" s="18"/>
      <c r="H46" s="18"/>
      <c r="I46" s="19">
        <f>E46*50/C46</f>
        <v>1.5384615384615385E-2</v>
      </c>
      <c r="J46" s="85"/>
    </row>
    <row r="47" spans="1:11" ht="13.5" thickBot="1">
      <c r="A47" s="105"/>
      <c r="B47" s="81">
        <f>B46+7</f>
        <v>43205</v>
      </c>
      <c r="C47" s="20">
        <f>D46+G46-H46</f>
        <v>1032.3046414045782</v>
      </c>
      <c r="D47" s="17">
        <f>C47+(C47*0.03)</f>
        <v>1063.2737806467155</v>
      </c>
      <c r="E47" s="17">
        <f>C47/3250</f>
        <v>0.31763219735525483</v>
      </c>
      <c r="F47" s="28">
        <f>(D47-C47)/E47</f>
        <v>97.499999999999901</v>
      </c>
      <c r="G47" s="18"/>
      <c r="H47" s="80">
        <f>(D47-C34)*0.35</f>
        <v>111.13023031753744</v>
      </c>
      <c r="I47" s="19">
        <f>E47*50/C47</f>
        <v>1.5384615384615384E-2</v>
      </c>
      <c r="J47" s="85"/>
      <c r="K47" s="102" t="s">
        <v>49</v>
      </c>
    </row>
    <row r="48" spans="1:11" ht="13" thickBot="1">
      <c r="A48" s="78"/>
      <c r="B48" s="13"/>
      <c r="C48" s="22"/>
      <c r="D48" s="23"/>
      <c r="E48" s="23"/>
      <c r="F48" s="27"/>
      <c r="G48" s="23"/>
      <c r="H48" s="10"/>
      <c r="I48" s="24"/>
      <c r="J48" s="86"/>
    </row>
    <row r="49" spans="1:11">
      <c r="A49" s="103">
        <v>10</v>
      </c>
      <c r="B49" s="81">
        <f>B47+7</f>
        <v>43212</v>
      </c>
      <c r="C49" s="20">
        <f>D47+G47-H47</f>
        <v>952.14355032917808</v>
      </c>
      <c r="D49" s="17">
        <f>C49+(C49*0.03)</f>
        <v>980.70785683905342</v>
      </c>
      <c r="E49" s="17">
        <f>C49/3250</f>
        <v>0.29296724625513171</v>
      </c>
      <c r="F49" s="28">
        <f>(D49-C49)/E49</f>
        <v>97.499999999999986</v>
      </c>
      <c r="G49" s="18"/>
      <c r="H49" s="18"/>
      <c r="I49" s="19">
        <f>E49*50/C49</f>
        <v>1.5384615384615384E-2</v>
      </c>
      <c r="J49" s="85"/>
    </row>
    <row r="50" spans="1:11">
      <c r="A50" s="104"/>
      <c r="B50" s="81">
        <f>B49+7</f>
        <v>43219</v>
      </c>
      <c r="C50" s="20">
        <f>D49+G49-H49</f>
        <v>980.70785683905342</v>
      </c>
      <c r="D50" s="17">
        <f>C50+(C50*0.03)</f>
        <v>1010.129092544225</v>
      </c>
      <c r="E50" s="17">
        <f>C50/3250</f>
        <v>0.30175626364278568</v>
      </c>
      <c r="F50" s="28">
        <f>(D50-C50)/E50</f>
        <v>97.500000000000071</v>
      </c>
      <c r="G50" s="18"/>
      <c r="H50" s="18"/>
      <c r="I50" s="19">
        <f>E50*50/C50</f>
        <v>1.5384615384615385E-2</v>
      </c>
      <c r="J50" s="85"/>
    </row>
    <row r="51" spans="1:11">
      <c r="A51" s="104"/>
      <c r="B51" s="81">
        <f>B50+7</f>
        <v>43226</v>
      </c>
      <c r="C51" s="20">
        <f>D50+G50-H50</f>
        <v>1010.129092544225</v>
      </c>
      <c r="D51" s="17">
        <f>C51+(C51*0.03)</f>
        <v>1040.4329653205518</v>
      </c>
      <c r="E51" s="17">
        <f>C51/3250</f>
        <v>0.31080895155206922</v>
      </c>
      <c r="F51" s="28">
        <f>(D51-C51)/E51</f>
        <v>97.500000000000114</v>
      </c>
      <c r="G51" s="18"/>
      <c r="H51" s="18"/>
      <c r="I51" s="19">
        <f>E51*50/C51</f>
        <v>1.5384615384615384E-2</v>
      </c>
      <c r="J51" s="85"/>
    </row>
    <row r="52" spans="1:11" ht="13" thickBot="1">
      <c r="A52" s="105"/>
      <c r="B52" s="81">
        <f>B51+7</f>
        <v>43233</v>
      </c>
      <c r="C52" s="20">
        <f>D51+G51-H51</f>
        <v>1040.4329653205518</v>
      </c>
      <c r="D52" s="17">
        <f>C52+(C52*0.03)</f>
        <v>1071.6459542801683</v>
      </c>
      <c r="E52" s="17">
        <f>C52/3250</f>
        <v>0.32013322009863132</v>
      </c>
      <c r="F52" s="28">
        <f>(D52-C52)/E52</f>
        <v>97.499999999999815</v>
      </c>
      <c r="G52" s="18"/>
      <c r="H52" s="80"/>
      <c r="I52" s="19">
        <f>E52*50/C52</f>
        <v>1.5384615384615384E-2</v>
      </c>
      <c r="J52" s="85"/>
    </row>
    <row r="53" spans="1:11" ht="13" thickBot="1">
      <c r="A53" s="78"/>
      <c r="B53" s="13"/>
      <c r="C53" s="22"/>
      <c r="D53" s="23"/>
      <c r="E53" s="23"/>
      <c r="F53" s="27"/>
      <c r="G53" s="23"/>
      <c r="H53" s="10"/>
      <c r="I53" s="24"/>
      <c r="J53" s="86"/>
    </row>
    <row r="54" spans="1:11">
      <c r="A54" s="103">
        <v>11</v>
      </c>
      <c r="B54" s="81">
        <f>B52+7</f>
        <v>43240</v>
      </c>
      <c r="C54" s="20">
        <f>D52+G52-H52</f>
        <v>1071.6459542801683</v>
      </c>
      <c r="D54" s="17">
        <f>C54+(C54*0.03)</f>
        <v>1103.7953329085733</v>
      </c>
      <c r="E54" s="17">
        <f>C54/3250</f>
        <v>0.32973721670159023</v>
      </c>
      <c r="F54" s="28">
        <f>(D54-C54)/E54</f>
        <v>97.499999999999773</v>
      </c>
      <c r="G54" s="18"/>
      <c r="H54" s="18"/>
      <c r="I54" s="19">
        <f>E54*50/C54</f>
        <v>1.5384615384615384E-2</v>
      </c>
      <c r="J54" s="85"/>
    </row>
    <row r="55" spans="1:11">
      <c r="A55" s="104"/>
      <c r="B55" s="81">
        <f>B54+7</f>
        <v>43247</v>
      </c>
      <c r="C55" s="20">
        <f>D54+G54-H54</f>
        <v>1103.7953329085733</v>
      </c>
      <c r="D55" s="17">
        <f>C55+(C55*0.03)</f>
        <v>1136.9091928958305</v>
      </c>
      <c r="E55" s="17">
        <f>C55/3250</f>
        <v>0.33962933320263794</v>
      </c>
      <c r="F55" s="28">
        <f>(D55-C55)/E55</f>
        <v>97.500000000000085</v>
      </c>
      <c r="G55" s="18"/>
      <c r="H55" s="18"/>
      <c r="I55" s="19">
        <f>E55*50/C55</f>
        <v>1.5384615384615384E-2</v>
      </c>
      <c r="J55" s="85"/>
    </row>
    <row r="56" spans="1:11">
      <c r="A56" s="104"/>
      <c r="B56" s="81">
        <f>B55+7</f>
        <v>43254</v>
      </c>
      <c r="C56" s="20">
        <f>D55+G55-H55</f>
        <v>1136.9091928958305</v>
      </c>
      <c r="D56" s="17">
        <f>C56+(C56*0.03)</f>
        <v>1171.0164686827054</v>
      </c>
      <c r="E56" s="17">
        <f>C56/3250</f>
        <v>0.34981821319871709</v>
      </c>
      <c r="F56" s="28">
        <f>(D56-C56)/E56</f>
        <v>97.499999999999901</v>
      </c>
      <c r="G56" s="18"/>
      <c r="H56" s="18"/>
      <c r="I56" s="19">
        <f>E56*50/C56</f>
        <v>1.5384615384615384E-2</v>
      </c>
      <c r="J56" s="85"/>
    </row>
    <row r="57" spans="1:11" ht="13" thickBot="1">
      <c r="A57" s="105"/>
      <c r="B57" s="81">
        <f>B56+7</f>
        <v>43261</v>
      </c>
      <c r="C57" s="20">
        <f>D56+G56-H56</f>
        <v>1171.0164686827054</v>
      </c>
      <c r="D57" s="17">
        <f>C57+(C57*0.03)</f>
        <v>1206.1469627431866</v>
      </c>
      <c r="E57" s="17">
        <f>C57/3250</f>
        <v>0.36031275959467857</v>
      </c>
      <c r="F57" s="28">
        <f>(D57-C57)/E57</f>
        <v>97.500000000000028</v>
      </c>
      <c r="G57" s="18"/>
      <c r="H57" s="80"/>
      <c r="I57" s="19">
        <f>E57*50/C57</f>
        <v>1.5384615384615384E-2</v>
      </c>
      <c r="J57" s="85"/>
    </row>
    <row r="58" spans="1:11" ht="13" thickBot="1">
      <c r="A58" s="78"/>
      <c r="B58" s="13"/>
      <c r="C58" s="22"/>
      <c r="D58" s="23"/>
      <c r="E58" s="23"/>
      <c r="F58" s="27"/>
      <c r="G58" s="23"/>
      <c r="H58" s="10"/>
      <c r="I58" s="24"/>
      <c r="J58" s="86"/>
    </row>
    <row r="59" spans="1:11">
      <c r="A59" s="103">
        <v>12</v>
      </c>
      <c r="B59" s="81">
        <f>B57+7</f>
        <v>43268</v>
      </c>
      <c r="C59" s="20">
        <f>D57+G57-H57</f>
        <v>1206.1469627431866</v>
      </c>
      <c r="D59" s="17">
        <f>C59+(C59*0.03)</f>
        <v>1242.3313716254822</v>
      </c>
      <c r="E59" s="17">
        <f>C59/3250</f>
        <v>0.37112214238251895</v>
      </c>
      <c r="F59" s="28">
        <f>(D59-C59)/E59</f>
        <v>97.500000000000156</v>
      </c>
      <c r="G59" s="18"/>
      <c r="H59" s="18"/>
      <c r="I59" s="19">
        <f>E59*50/C59</f>
        <v>1.5384615384615384E-2</v>
      </c>
      <c r="J59" s="85"/>
    </row>
    <row r="60" spans="1:11">
      <c r="A60" s="104"/>
      <c r="B60" s="81">
        <f>B59+7</f>
        <v>43275</v>
      </c>
      <c r="C60" s="20">
        <f>D59+G59-H59</f>
        <v>1242.3313716254822</v>
      </c>
      <c r="D60" s="17">
        <f>C60+(C60*0.03)</f>
        <v>1279.6013127742467</v>
      </c>
      <c r="E60" s="17">
        <f>C60/3250</f>
        <v>0.38225580665399456</v>
      </c>
      <c r="F60" s="28">
        <f>(D60-C60)/E60</f>
        <v>97.500000000000014</v>
      </c>
      <c r="G60" s="18"/>
      <c r="H60" s="18"/>
      <c r="I60" s="19">
        <f>E60*50/C60</f>
        <v>1.5384615384615385E-2</v>
      </c>
      <c r="J60" s="85"/>
    </row>
    <row r="61" spans="1:11">
      <c r="A61" s="104"/>
      <c r="B61" s="81">
        <f>B60+7</f>
        <v>43282</v>
      </c>
      <c r="C61" s="20">
        <f>D60+G60-H60</f>
        <v>1279.6013127742467</v>
      </c>
      <c r="D61" s="17">
        <f>C61+(C61*0.03)</f>
        <v>1317.9893521574741</v>
      </c>
      <c r="E61" s="17">
        <f>C61/3250</f>
        <v>0.39372348085361436</v>
      </c>
      <c r="F61" s="28">
        <f>(D61-C61)/E61</f>
        <v>97.499999999999872</v>
      </c>
      <c r="G61" s="18"/>
      <c r="H61" s="18"/>
      <c r="I61" s="19">
        <f>E61*50/C61</f>
        <v>1.5384615384615385E-2</v>
      </c>
      <c r="J61" s="85"/>
    </row>
    <row r="62" spans="1:11" ht="13.5" thickBot="1">
      <c r="A62" s="105"/>
      <c r="B62" s="81">
        <f>B61+7</f>
        <v>43289</v>
      </c>
      <c r="C62" s="20">
        <f>D61+G61-H61</f>
        <v>1317.9893521574741</v>
      </c>
      <c r="D62" s="17">
        <f>C62+(C62*0.03)</f>
        <v>1357.5290327221983</v>
      </c>
      <c r="E62" s="17">
        <f>C62/3250</f>
        <v>0.40553518527922278</v>
      </c>
      <c r="F62" s="28">
        <f>(D62-C62)/E62</f>
        <v>97.5</v>
      </c>
      <c r="G62" s="18"/>
      <c r="H62" s="80">
        <f>(D62-C49)*0.35</f>
        <v>141.88491883755705</v>
      </c>
      <c r="I62" s="19">
        <f>E62*50/C62</f>
        <v>1.5384615384615385E-2</v>
      </c>
      <c r="J62" s="85"/>
      <c r="K62" s="102" t="s">
        <v>49</v>
      </c>
    </row>
    <row r="63" spans="1:11" ht="13" thickBot="1">
      <c r="A63" s="78"/>
      <c r="B63" s="13"/>
      <c r="C63" s="22"/>
      <c r="D63" s="23"/>
      <c r="E63" s="23"/>
      <c r="F63" s="27"/>
      <c r="G63" s="23"/>
      <c r="H63" s="10"/>
      <c r="I63" s="24"/>
      <c r="J63" s="86"/>
    </row>
    <row r="64" spans="1:11">
      <c r="A64" s="103">
        <v>13</v>
      </c>
      <c r="B64" s="81">
        <f>B62+7</f>
        <v>43296</v>
      </c>
      <c r="C64" s="20">
        <f>D62+G62-H62</f>
        <v>1215.6441138846412</v>
      </c>
      <c r="D64" s="17">
        <f>C64+(C64*0.03)</f>
        <v>1252.1134373011805</v>
      </c>
      <c r="E64" s="17">
        <f>C64/3250</f>
        <v>0.37404434273373577</v>
      </c>
      <c r="F64" s="28">
        <f>(D64-C64)/E64</f>
        <v>97.500000000000114</v>
      </c>
      <c r="G64" s="17"/>
      <c r="H64" s="79"/>
      <c r="I64" s="19">
        <f>E64*50/C64</f>
        <v>1.5384615384615384E-2</v>
      </c>
      <c r="J64" s="85"/>
    </row>
    <row r="65" spans="1:11">
      <c r="A65" s="104"/>
      <c r="B65" s="81">
        <f>B64+7</f>
        <v>43303</v>
      </c>
      <c r="C65" s="20">
        <f>D64+G64-H64</f>
        <v>1252.1134373011805</v>
      </c>
      <c r="D65" s="17">
        <f>C65+(C65*0.03)</f>
        <v>1289.676840420216</v>
      </c>
      <c r="E65" s="17">
        <f>C65/3250</f>
        <v>0.38526567301574782</v>
      </c>
      <c r="F65" s="28">
        <f>(D65-C65)/E65</f>
        <v>97.500000000000114</v>
      </c>
      <c r="G65" s="17"/>
      <c r="H65" s="79"/>
      <c r="I65" s="19">
        <f>E65*50/C65</f>
        <v>1.5384615384615382E-2</v>
      </c>
      <c r="J65" s="85"/>
    </row>
    <row r="66" spans="1:11">
      <c r="A66" s="104"/>
      <c r="B66" s="81">
        <f>B65+7</f>
        <v>43310</v>
      </c>
      <c r="C66" s="20">
        <f>D65+G65-H65</f>
        <v>1289.676840420216</v>
      </c>
      <c r="D66" s="17">
        <f>C66+(C66*0.03)</f>
        <v>1328.3671456328225</v>
      </c>
      <c r="E66" s="17">
        <f>C66/3250</f>
        <v>0.39682364320622032</v>
      </c>
      <c r="F66" s="28">
        <f>(D66-C66)/E66</f>
        <v>97.500000000000085</v>
      </c>
      <c r="G66" s="17"/>
      <c r="H66" s="79"/>
      <c r="I66" s="19">
        <f>E66*50/C66</f>
        <v>1.5384615384615387E-2</v>
      </c>
      <c r="J66" s="85"/>
    </row>
    <row r="67" spans="1:11" ht="13" thickBot="1">
      <c r="A67" s="105"/>
      <c r="B67" s="81">
        <f>B66+7</f>
        <v>43317</v>
      </c>
      <c r="C67" s="20">
        <f>D66+G66-H66</f>
        <v>1328.3671456328225</v>
      </c>
      <c r="D67" s="17">
        <f>C67+(C67*0.03)</f>
        <v>1368.2181600018071</v>
      </c>
      <c r="E67" s="17">
        <f>C67/3250</f>
        <v>0.40872835250240691</v>
      </c>
      <c r="F67" s="28">
        <f>(D67-C67)/E67</f>
        <v>97.499999999999773</v>
      </c>
      <c r="G67" s="18"/>
      <c r="H67" s="80"/>
      <c r="I67" s="19">
        <f>E67*50/C67</f>
        <v>1.5384615384615384E-2</v>
      </c>
      <c r="J67" s="85"/>
    </row>
    <row r="68" spans="1:11" ht="13" thickBot="1">
      <c r="A68" s="78"/>
      <c r="B68" s="13"/>
      <c r="C68" s="22"/>
      <c r="D68" s="23"/>
      <c r="E68" s="23"/>
      <c r="F68" s="27"/>
      <c r="G68" s="23"/>
      <c r="H68" s="10"/>
      <c r="I68" s="24"/>
      <c r="J68" s="86"/>
    </row>
    <row r="69" spans="1:11">
      <c r="A69" s="103">
        <v>14</v>
      </c>
      <c r="B69" s="81">
        <f>B67+7</f>
        <v>43324</v>
      </c>
      <c r="C69" s="20">
        <f>D67+G67-H67</f>
        <v>1368.2181600018071</v>
      </c>
      <c r="D69" s="17">
        <f>C69+(C69*0.03)</f>
        <v>1409.2647048018612</v>
      </c>
      <c r="E69" s="17">
        <f>C69/3250</f>
        <v>0.42099020307747909</v>
      </c>
      <c r="F69" s="28">
        <f>(D69-C69)/E69</f>
        <v>97.499999999999758</v>
      </c>
      <c r="G69" s="18"/>
      <c r="H69" s="18"/>
      <c r="I69" s="19">
        <f>E69*50/C69</f>
        <v>1.5384615384615384E-2</v>
      </c>
      <c r="J69" s="85"/>
    </row>
    <row r="70" spans="1:11">
      <c r="A70" s="104"/>
      <c r="B70" s="81">
        <f>B69+7</f>
        <v>43331</v>
      </c>
      <c r="C70" s="20">
        <f>D69+G69-H69</f>
        <v>1409.2647048018612</v>
      </c>
      <c r="D70" s="17">
        <f>C70+(C70*0.03)</f>
        <v>1451.542645945917</v>
      </c>
      <c r="E70" s="17">
        <f>C70/3250</f>
        <v>0.43361990916980342</v>
      </c>
      <c r="F70" s="28">
        <f>(D70-C70)/E70</f>
        <v>97.5</v>
      </c>
      <c r="G70" s="18"/>
      <c r="H70" s="18"/>
      <c r="I70" s="19">
        <f>E70*50/C70</f>
        <v>1.5384615384615384E-2</v>
      </c>
      <c r="J70" s="85"/>
    </row>
    <row r="71" spans="1:11">
      <c r="A71" s="104"/>
      <c r="B71" s="81">
        <f>B70+7</f>
        <v>43338</v>
      </c>
      <c r="C71" s="20">
        <f>D70+G70-H70</f>
        <v>1451.542645945917</v>
      </c>
      <c r="D71" s="17">
        <f>C71+(C71*0.03)</f>
        <v>1495.0889253242945</v>
      </c>
      <c r="E71" s="17">
        <f>C71/3250</f>
        <v>0.44662850644489754</v>
      </c>
      <c r="F71" s="28">
        <f>(D71-C71)/E71</f>
        <v>97.499999999999858</v>
      </c>
      <c r="G71" s="18"/>
      <c r="H71" s="18"/>
      <c r="I71" s="19">
        <f>E71*50/C71</f>
        <v>1.5384615384615384E-2</v>
      </c>
      <c r="J71" s="85"/>
    </row>
    <row r="72" spans="1:11" ht="13" thickBot="1">
      <c r="A72" s="105"/>
      <c r="B72" s="81">
        <f>B71+7</f>
        <v>43345</v>
      </c>
      <c r="C72" s="20">
        <f>D71+G71-H71</f>
        <v>1495.0889253242945</v>
      </c>
      <c r="D72" s="17">
        <f>C72+(C72*0.03)</f>
        <v>1539.9415930840232</v>
      </c>
      <c r="E72" s="17">
        <f>C72/3250</f>
        <v>0.46002736163824443</v>
      </c>
      <c r="F72" s="28">
        <f>(D72-C72)/E72</f>
        <v>97.499999999999872</v>
      </c>
      <c r="G72" s="18"/>
      <c r="H72" s="80"/>
      <c r="I72" s="19">
        <f>E72*50/C72</f>
        <v>1.5384615384615384E-2</v>
      </c>
      <c r="J72" s="85"/>
    </row>
    <row r="73" spans="1:11" ht="13" thickBot="1">
      <c r="A73" s="78"/>
      <c r="B73" s="13"/>
      <c r="C73" s="22"/>
      <c r="D73" s="23"/>
      <c r="E73" s="23"/>
      <c r="F73" s="27"/>
      <c r="G73" s="23"/>
      <c r="H73" s="10"/>
      <c r="I73" s="24"/>
      <c r="J73" s="86"/>
    </row>
    <row r="74" spans="1:11">
      <c r="A74" s="103">
        <v>15</v>
      </c>
      <c r="B74" s="81">
        <f>B72+7</f>
        <v>43352</v>
      </c>
      <c r="C74" s="20">
        <f>D72+G72-H72</f>
        <v>1539.9415930840232</v>
      </c>
      <c r="D74" s="17">
        <f>C74+(C74*0.03)</f>
        <v>1586.139840876544</v>
      </c>
      <c r="E74" s="17">
        <f>C74/3250</f>
        <v>0.47382818248739178</v>
      </c>
      <c r="F74" s="28">
        <f>(D74-C74)/E74</f>
        <v>97.500000000000128</v>
      </c>
      <c r="G74" s="18"/>
      <c r="H74" s="18"/>
      <c r="I74" s="19">
        <f>E74*50/C74</f>
        <v>1.5384615384615385E-2</v>
      </c>
      <c r="J74" s="85"/>
    </row>
    <row r="75" spans="1:11">
      <c r="A75" s="104"/>
      <c r="B75" s="81">
        <f>B74+7</f>
        <v>43359</v>
      </c>
      <c r="C75" s="20">
        <f>D74+G74-H74</f>
        <v>1586.139840876544</v>
      </c>
      <c r="D75" s="17">
        <f>C75+(C75*0.03)</f>
        <v>1633.7240361028403</v>
      </c>
      <c r="E75" s="17">
        <f>C75/3250</f>
        <v>0.48804302796201354</v>
      </c>
      <c r="F75" s="28">
        <f>(D75-C75)/E75</f>
        <v>97.499999999999929</v>
      </c>
      <c r="G75" s="18"/>
      <c r="H75" s="18"/>
      <c r="I75" s="19">
        <f>E75*50/C75</f>
        <v>1.5384615384615385E-2</v>
      </c>
      <c r="J75" s="85"/>
    </row>
    <row r="76" spans="1:11">
      <c r="A76" s="104"/>
      <c r="B76" s="81">
        <f>B75+7</f>
        <v>43366</v>
      </c>
      <c r="C76" s="20">
        <f>D75+G75-H75</f>
        <v>1633.7240361028403</v>
      </c>
      <c r="D76" s="17">
        <f>C76+(C76*0.03)</f>
        <v>1682.7357571859254</v>
      </c>
      <c r="E76" s="17">
        <f>C76/3250</f>
        <v>0.50268431880087394</v>
      </c>
      <c r="F76" s="28">
        <f>(D76-C76)/E76</f>
        <v>97.499999999999886</v>
      </c>
      <c r="G76" s="18"/>
      <c r="H76" s="18"/>
      <c r="I76" s="19">
        <f>E76*50/C76</f>
        <v>1.5384615384615384E-2</v>
      </c>
      <c r="J76" s="85"/>
    </row>
    <row r="77" spans="1:11" ht="13.5" thickBot="1">
      <c r="A77" s="105"/>
      <c r="B77" s="81">
        <f>B76+7</f>
        <v>43373</v>
      </c>
      <c r="C77" s="20">
        <f>D76+G76-H76</f>
        <v>1682.7357571859254</v>
      </c>
      <c r="D77" s="17">
        <f>C77+(C77*0.03)</f>
        <v>1733.2178299015031</v>
      </c>
      <c r="E77" s="17">
        <f>C77/3250</f>
        <v>0.51776484836490011</v>
      </c>
      <c r="F77" s="28">
        <f>(D77-C77)/E77</f>
        <v>97.499999999999915</v>
      </c>
      <c r="G77" s="18"/>
      <c r="H77" s="80">
        <f>(D77-C64)*0.35</f>
        <v>181.15080060590165</v>
      </c>
      <c r="I77" s="19">
        <f>E77*50/C77</f>
        <v>1.5384615384615385E-2</v>
      </c>
      <c r="J77" s="85"/>
      <c r="K77" s="102" t="s">
        <v>49</v>
      </c>
    </row>
    <row r="78" spans="1:11" ht="13" thickBot="1">
      <c r="A78" s="78"/>
      <c r="B78" s="13"/>
      <c r="C78" s="22"/>
      <c r="D78" s="23"/>
      <c r="E78" s="23"/>
      <c r="F78" s="27"/>
      <c r="G78" s="23"/>
      <c r="H78" s="10"/>
      <c r="I78" s="24"/>
      <c r="J78" s="86"/>
    </row>
    <row r="79" spans="1:11">
      <c r="A79" s="103">
        <v>16</v>
      </c>
      <c r="B79" s="81">
        <f>B77+7</f>
        <v>43380</v>
      </c>
      <c r="C79" s="20">
        <f>D77+G77-H77</f>
        <v>1552.0670292956015</v>
      </c>
      <c r="D79" s="17">
        <f>C79+(C79*0.03)</f>
        <v>1598.6290401744695</v>
      </c>
      <c r="E79" s="17">
        <f>C79/3250</f>
        <v>0.47755908593710816</v>
      </c>
      <c r="F79" s="28">
        <f>(D79-C79)/E79</f>
        <v>97.499999999999957</v>
      </c>
      <c r="G79" s="18"/>
      <c r="H79" s="18"/>
      <c r="I79" s="19">
        <f>E79*50/C79</f>
        <v>1.5384615384615384E-2</v>
      </c>
      <c r="J79" s="85"/>
    </row>
    <row r="80" spans="1:11">
      <c r="A80" s="104"/>
      <c r="B80" s="81">
        <f>B79+7</f>
        <v>43387</v>
      </c>
      <c r="C80" s="20">
        <f>D79+G79-H79</f>
        <v>1598.6290401744695</v>
      </c>
      <c r="D80" s="17">
        <f>C80+(C80*0.03)</f>
        <v>1646.5879113797037</v>
      </c>
      <c r="E80" s="17">
        <f>C80/3250</f>
        <v>0.49188585851522137</v>
      </c>
      <c r="F80" s="28">
        <f>(D80-C80)/E80</f>
        <v>97.500000000000071</v>
      </c>
      <c r="G80" s="18"/>
      <c r="H80" s="18"/>
      <c r="I80" s="19">
        <f>E80*50/C80</f>
        <v>1.5384615384615384E-2</v>
      </c>
      <c r="J80" s="85"/>
    </row>
    <row r="81" spans="1:11">
      <c r="A81" s="104"/>
      <c r="B81" s="81">
        <f>B80+7</f>
        <v>43394</v>
      </c>
      <c r="C81" s="20">
        <f>D80+G80-H80</f>
        <v>1646.5879113797037</v>
      </c>
      <c r="D81" s="17">
        <f>C81+(C81*0.03)</f>
        <v>1695.9855487210948</v>
      </c>
      <c r="E81" s="17">
        <f>C81/3250</f>
        <v>0.50664243427067801</v>
      </c>
      <c r="F81" s="28">
        <f>(D81-C81)/E81</f>
        <v>97.500000000000085</v>
      </c>
      <c r="G81" s="18"/>
      <c r="H81" s="18"/>
      <c r="I81" s="19">
        <f>E81*50/C81</f>
        <v>1.5384615384615384E-2</v>
      </c>
      <c r="J81" s="85"/>
    </row>
    <row r="82" spans="1:11" ht="13" thickBot="1">
      <c r="A82" s="105"/>
      <c r="B82" s="81">
        <f>B81+7</f>
        <v>43401</v>
      </c>
      <c r="C82" s="20">
        <f>D81+G81-H81</f>
        <v>1695.9855487210948</v>
      </c>
      <c r="D82" s="17">
        <f>C82+(C82*0.03)</f>
        <v>1746.8651151827275</v>
      </c>
      <c r="E82" s="17">
        <f>C82/3250</f>
        <v>0.52184170729879842</v>
      </c>
      <c r="F82" s="28">
        <f>(D82-C82)/E82</f>
        <v>97.499999999999815</v>
      </c>
      <c r="G82" s="18"/>
      <c r="H82" s="80"/>
      <c r="I82" s="19">
        <f>E82*50/C82</f>
        <v>1.5384615384615384E-2</v>
      </c>
      <c r="J82" s="85"/>
    </row>
    <row r="83" spans="1:11" ht="13" thickBot="1">
      <c r="A83" s="78"/>
      <c r="B83" s="13"/>
      <c r="C83" s="22"/>
      <c r="D83" s="23"/>
      <c r="E83" s="23"/>
      <c r="F83" s="27"/>
      <c r="G83" s="23"/>
      <c r="H83" s="10"/>
      <c r="I83" s="24"/>
      <c r="J83" s="86"/>
    </row>
    <row r="84" spans="1:11">
      <c r="A84" s="103">
        <v>17</v>
      </c>
      <c r="B84" s="81">
        <f>B82+7</f>
        <v>43408</v>
      </c>
      <c r="C84" s="20">
        <f>D82+G82-H82</f>
        <v>1746.8651151827275</v>
      </c>
      <c r="D84" s="17">
        <f>C84+(C84*0.03)</f>
        <v>1799.2710686382093</v>
      </c>
      <c r="E84" s="17">
        <f>C84/3250</f>
        <v>0.53749695851776236</v>
      </c>
      <c r="F84" s="28">
        <f>(D84-C84)/E84</f>
        <v>97.499999999999801</v>
      </c>
      <c r="G84" s="18"/>
      <c r="H84" s="18"/>
      <c r="I84" s="19">
        <f>E84*50/C84</f>
        <v>1.5384615384615385E-2</v>
      </c>
      <c r="J84" s="85"/>
    </row>
    <row r="85" spans="1:11">
      <c r="A85" s="104"/>
      <c r="B85" s="81">
        <f>B84+7</f>
        <v>43415</v>
      </c>
      <c r="C85" s="20">
        <f>D84+G84-H84</f>
        <v>1799.2710686382093</v>
      </c>
      <c r="D85" s="17">
        <f>C85+(C85*0.03)</f>
        <v>1853.2492006973555</v>
      </c>
      <c r="E85" s="17">
        <f>C85/3250</f>
        <v>0.55362186727329521</v>
      </c>
      <c r="F85" s="28">
        <f>(D85-C85)/E85</f>
        <v>97.499999999999886</v>
      </c>
      <c r="G85" s="18"/>
      <c r="H85" s="18"/>
      <c r="I85" s="19">
        <f>E85*50/C85</f>
        <v>1.5384615384615387E-2</v>
      </c>
      <c r="J85" s="85"/>
    </row>
    <row r="86" spans="1:11">
      <c r="A86" s="104"/>
      <c r="B86" s="81">
        <f>B85+7</f>
        <v>43422</v>
      </c>
      <c r="C86" s="20">
        <f>D85+G85-H85</f>
        <v>1853.2492006973555</v>
      </c>
      <c r="D86" s="17">
        <f>C86+(C86*0.03)</f>
        <v>1908.8466767182761</v>
      </c>
      <c r="E86" s="17">
        <f>C86/3250</f>
        <v>0.57023052329149404</v>
      </c>
      <c r="F86" s="28">
        <f>(D86-C86)/E86</f>
        <v>97.499999999999815</v>
      </c>
      <c r="G86" s="18"/>
      <c r="H86" s="18"/>
      <c r="I86" s="19">
        <f>E86*50/C86</f>
        <v>1.5384615384615385E-2</v>
      </c>
      <c r="J86" s="85"/>
    </row>
    <row r="87" spans="1:11" ht="13" thickBot="1">
      <c r="A87" s="105"/>
      <c r="B87" s="81">
        <f>B86+7</f>
        <v>43429</v>
      </c>
      <c r="C87" s="20">
        <f>D86+G86-H86</f>
        <v>1908.8466767182761</v>
      </c>
      <c r="D87" s="17">
        <f>C87+(C87*0.03)</f>
        <v>1966.1120770198243</v>
      </c>
      <c r="E87" s="17">
        <f>C87/3250</f>
        <v>0.58733743899023882</v>
      </c>
      <c r="F87" s="28">
        <f>(D87-C87)/E87</f>
        <v>97.499999999999844</v>
      </c>
      <c r="G87" s="18"/>
      <c r="H87" s="80"/>
      <c r="I87" s="19">
        <f>E87*50/C87</f>
        <v>1.5384615384615385E-2</v>
      </c>
      <c r="J87" s="85"/>
    </row>
    <row r="88" spans="1:11" ht="13" thickBot="1">
      <c r="A88" s="78"/>
      <c r="B88" s="13"/>
      <c r="C88" s="22"/>
      <c r="D88" s="23"/>
      <c r="E88" s="23"/>
      <c r="F88" s="27"/>
      <c r="G88" s="23"/>
      <c r="H88" s="10"/>
      <c r="I88" s="24"/>
      <c r="J88" s="86"/>
    </row>
    <row r="89" spans="1:11">
      <c r="A89" s="103">
        <v>18</v>
      </c>
      <c r="B89" s="81">
        <f>B87+7</f>
        <v>43436</v>
      </c>
      <c r="C89" s="20">
        <f>D87+G87-H87</f>
        <v>1966.1120770198243</v>
      </c>
      <c r="D89" s="17">
        <f>C89+(C89*0.03)</f>
        <v>2025.0954393304189</v>
      </c>
      <c r="E89" s="17">
        <f>C89/3250</f>
        <v>0.60495756215994589</v>
      </c>
      <c r="F89" s="28">
        <f>(D89-C89)/E89</f>
        <v>97.499999999999886</v>
      </c>
      <c r="G89" s="18"/>
      <c r="H89" s="18"/>
      <c r="I89" s="19">
        <f>E89*50/C89</f>
        <v>1.5384615384615384E-2</v>
      </c>
      <c r="J89" s="85"/>
    </row>
    <row r="90" spans="1:11">
      <c r="A90" s="104"/>
      <c r="B90" s="81">
        <f>B89+7</f>
        <v>43443</v>
      </c>
      <c r="C90" s="20">
        <f>D89+G89-H89</f>
        <v>2025.0954393304189</v>
      </c>
      <c r="D90" s="17">
        <f>C90+(C90*0.03)</f>
        <v>2085.8483025103315</v>
      </c>
      <c r="E90" s="17">
        <f>C90/3250</f>
        <v>0.6231062890247443</v>
      </c>
      <c r="F90" s="28">
        <f>(D90-C90)/E90</f>
        <v>97.499999999999943</v>
      </c>
      <c r="G90" s="18"/>
      <c r="H90" s="18"/>
      <c r="I90" s="19">
        <f>E90*50/C90</f>
        <v>1.5384615384615384E-2</v>
      </c>
      <c r="J90" s="85"/>
    </row>
    <row r="91" spans="1:11">
      <c r="A91" s="104"/>
      <c r="B91" s="81">
        <f>B90+7</f>
        <v>43450</v>
      </c>
      <c r="C91" s="20">
        <f>D90+G90-H90</f>
        <v>2085.8483025103315</v>
      </c>
      <c r="D91" s="17">
        <f>C91+(C91*0.03)</f>
        <v>2148.4237515856412</v>
      </c>
      <c r="E91" s="17">
        <f>C91/3250</f>
        <v>0.64179947769548662</v>
      </c>
      <c r="F91" s="28">
        <f>(D91-C91)/E91</f>
        <v>97.499999999999673</v>
      </c>
      <c r="G91" s="18"/>
      <c r="H91" s="18"/>
      <c r="I91" s="19">
        <f>E91*50/C91</f>
        <v>1.5384615384615385E-2</v>
      </c>
      <c r="J91" s="85"/>
    </row>
    <row r="92" spans="1:11" ht="13.5" thickBot="1">
      <c r="A92" s="105"/>
      <c r="B92" s="81">
        <f>B91+7</f>
        <v>43457</v>
      </c>
      <c r="C92" s="20">
        <f>D91+G91-H91</f>
        <v>2148.4237515856412</v>
      </c>
      <c r="D92" s="17">
        <f>C92+(C92*0.03)</f>
        <v>2212.8764641332104</v>
      </c>
      <c r="E92" s="17">
        <f>C92/3250</f>
        <v>0.66105346202635118</v>
      </c>
      <c r="F92" s="28">
        <f>(D92-C92)/E92</f>
        <v>97.500000000000028</v>
      </c>
      <c r="G92" s="18"/>
      <c r="H92" s="80">
        <f>(D92-C79)*0.35</f>
        <v>231.28330219316311</v>
      </c>
      <c r="I92" s="19">
        <f>E92*50/C92</f>
        <v>1.5384615384615385E-2</v>
      </c>
      <c r="J92" s="85"/>
      <c r="K92" s="102" t="s">
        <v>49</v>
      </c>
    </row>
    <row r="93" spans="1:11" ht="13" thickBot="1">
      <c r="A93" s="78"/>
      <c r="B93" s="13"/>
      <c r="C93" s="22"/>
      <c r="D93" s="23"/>
      <c r="E93" s="23"/>
      <c r="F93" s="27"/>
      <c r="G93" s="23"/>
      <c r="H93" s="10"/>
      <c r="I93" s="24"/>
      <c r="J93" s="86"/>
    </row>
    <row r="94" spans="1:11">
      <c r="A94" s="103">
        <v>19</v>
      </c>
      <c r="B94" s="81">
        <f>B92+7</f>
        <v>43464</v>
      </c>
      <c r="C94" s="20">
        <f>D92+G92-H92</f>
        <v>1981.5931619400474</v>
      </c>
      <c r="D94" s="17">
        <f>C94+(C94*0.03)</f>
        <v>2041.0409567982488</v>
      </c>
      <c r="E94" s="17">
        <f>C94/3250</f>
        <v>0.60972097290463001</v>
      </c>
      <c r="F94" s="28">
        <f>(D94-C94)/E94</f>
        <v>97.499999999999972</v>
      </c>
      <c r="G94" s="17"/>
      <c r="H94" s="18"/>
      <c r="I94" s="19">
        <f>E94*50/C94</f>
        <v>1.5384615384615385E-2</v>
      </c>
      <c r="J94" s="85"/>
    </row>
    <row r="95" spans="1:11">
      <c r="A95" s="104"/>
      <c r="B95" s="81">
        <f>B94+7</f>
        <v>43471</v>
      </c>
      <c r="C95" s="20">
        <f>D94+G94-H94</f>
        <v>2041.0409567982488</v>
      </c>
      <c r="D95" s="17">
        <f>C95+(C95*0.03)</f>
        <v>2102.2721855021964</v>
      </c>
      <c r="E95" s="17">
        <f>C95/3250</f>
        <v>0.6280126020917689</v>
      </c>
      <c r="F95" s="28">
        <f>(D95-C95)/E95</f>
        <v>97.50000000000027</v>
      </c>
      <c r="G95" s="17"/>
      <c r="H95" s="18"/>
      <c r="I95" s="19">
        <f>E95*50/C95</f>
        <v>1.5384615384615385E-2</v>
      </c>
      <c r="J95" s="85"/>
    </row>
    <row r="96" spans="1:11">
      <c r="A96" s="104"/>
      <c r="B96" s="81">
        <f>B95+7</f>
        <v>43478</v>
      </c>
      <c r="C96" s="20">
        <f>D95+G95-H95</f>
        <v>2102.2721855021964</v>
      </c>
      <c r="D96" s="17">
        <f>C96+(C96*0.03)</f>
        <v>2165.3403510672624</v>
      </c>
      <c r="E96" s="17">
        <f>C96/3250</f>
        <v>0.64685298015452197</v>
      </c>
      <c r="F96" s="28">
        <f>(D96-C96)/E96</f>
        <v>97.500000000000185</v>
      </c>
      <c r="G96" s="17"/>
      <c r="H96" s="18"/>
      <c r="I96" s="19">
        <f>E96*50/C96</f>
        <v>1.5384615384615384E-2</v>
      </c>
      <c r="J96" s="85"/>
    </row>
    <row r="97" spans="1:11" ht="13" thickBot="1">
      <c r="A97" s="105"/>
      <c r="B97" s="81">
        <f>B96+7</f>
        <v>43485</v>
      </c>
      <c r="C97" s="20">
        <f>D96+G96-H96</f>
        <v>2165.3403510672624</v>
      </c>
      <c r="D97" s="17">
        <f>C97+(C97*0.03)</f>
        <v>2230.3005615992802</v>
      </c>
      <c r="E97" s="17">
        <f>C97/3250</f>
        <v>0.66625856955915763</v>
      </c>
      <c r="F97" s="28">
        <f>(D97-C97)/E97</f>
        <v>97.499999999999829</v>
      </c>
      <c r="G97" s="18"/>
      <c r="H97" s="80"/>
      <c r="I97" s="19">
        <f>E97*50/C97</f>
        <v>1.5384615384615384E-2</v>
      </c>
      <c r="J97" s="85"/>
    </row>
    <row r="98" spans="1:11" ht="13" thickBot="1">
      <c r="A98" s="78"/>
      <c r="B98" s="13"/>
      <c r="C98" s="22"/>
      <c r="D98" s="23"/>
      <c r="E98" s="23"/>
      <c r="F98" s="27"/>
      <c r="G98" s="23"/>
      <c r="H98" s="10"/>
      <c r="I98" s="24"/>
      <c r="J98" s="86"/>
    </row>
    <row r="99" spans="1:11">
      <c r="A99" s="103">
        <v>20</v>
      </c>
      <c r="B99" s="81">
        <f>B97+7</f>
        <v>43492</v>
      </c>
      <c r="C99" s="20">
        <f>D97+G97-H97</f>
        <v>2230.3005615992802</v>
      </c>
      <c r="D99" s="17">
        <f>C99+(C99*0.03)</f>
        <v>2297.2095784472585</v>
      </c>
      <c r="E99" s="17">
        <f>C99/3250</f>
        <v>0.68624632664593233</v>
      </c>
      <c r="F99" s="28">
        <f>(D99-C99)/E99</f>
        <v>97.499999999999943</v>
      </c>
      <c r="G99" s="18"/>
      <c r="H99" s="18"/>
      <c r="I99" s="19">
        <f>E99*50/C99</f>
        <v>1.5384615384615384E-2</v>
      </c>
      <c r="J99" s="85"/>
    </row>
    <row r="100" spans="1:11">
      <c r="A100" s="104"/>
      <c r="B100" s="81">
        <f>B99+7</f>
        <v>43499</v>
      </c>
      <c r="C100" s="20">
        <f>D99+G99-H99</f>
        <v>2297.2095784472585</v>
      </c>
      <c r="D100" s="17">
        <f>C100+(C100*0.03)</f>
        <v>2366.1258658006764</v>
      </c>
      <c r="E100" s="17">
        <f>C100/3250</f>
        <v>0.70683371644531034</v>
      </c>
      <c r="F100" s="28">
        <f>(D100-C100)/E100</f>
        <v>97.500000000000099</v>
      </c>
      <c r="G100" s="18"/>
      <c r="H100" s="18"/>
      <c r="I100" s="19">
        <f>E100*50/C100</f>
        <v>1.5384615384615385E-2</v>
      </c>
      <c r="J100" s="85"/>
    </row>
    <row r="101" spans="1:11">
      <c r="A101" s="104"/>
      <c r="B101" s="81">
        <f>B100+7</f>
        <v>43506</v>
      </c>
      <c r="C101" s="20">
        <f>D100+G100-H100</f>
        <v>2366.1258658006764</v>
      </c>
      <c r="D101" s="17">
        <f>C101+(C101*0.03)</f>
        <v>2437.1096417746967</v>
      </c>
      <c r="E101" s="17">
        <f>C101/3250</f>
        <v>0.72803872793866964</v>
      </c>
      <c r="F101" s="28">
        <f>(D101-C101)/E101</f>
        <v>97.500000000000043</v>
      </c>
      <c r="G101" s="18"/>
      <c r="H101" s="18"/>
      <c r="I101" s="19">
        <f>E101*50/C101</f>
        <v>1.5384615384615384E-2</v>
      </c>
      <c r="J101" s="85"/>
    </row>
    <row r="102" spans="1:11" ht="13" thickBot="1">
      <c r="A102" s="105"/>
      <c r="B102" s="81">
        <f>B101+7</f>
        <v>43513</v>
      </c>
      <c r="C102" s="20">
        <f>D101+G101-H101</f>
        <v>2437.1096417746967</v>
      </c>
      <c r="D102" s="17">
        <f>C102+(C102*0.03)</f>
        <v>2510.2229310279376</v>
      </c>
      <c r="E102" s="17">
        <f>C102/3250</f>
        <v>0.74987988977682973</v>
      </c>
      <c r="F102" s="28">
        <f>(D102-C102)/E102</f>
        <v>97.500000000000085</v>
      </c>
      <c r="G102" s="18"/>
      <c r="H102" s="80"/>
      <c r="I102" s="19">
        <f>E102*50/C102</f>
        <v>1.5384615384615384E-2</v>
      </c>
      <c r="J102" s="85"/>
    </row>
    <row r="103" spans="1:11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6"/>
    </row>
    <row r="104" spans="1:11">
      <c r="A104" s="103">
        <v>21</v>
      </c>
      <c r="B104" s="81">
        <f>B102+7</f>
        <v>43520</v>
      </c>
      <c r="C104" s="20">
        <f>D102+G102-H102</f>
        <v>2510.2229310279376</v>
      </c>
      <c r="D104" s="17">
        <f>C104+(C104*0.03)</f>
        <v>2585.5296189587757</v>
      </c>
      <c r="E104" s="17">
        <f>C104/3250</f>
        <v>0.77237628647013468</v>
      </c>
      <c r="F104" s="28">
        <f>(D104-C104)/E104</f>
        <v>97.499999999999901</v>
      </c>
      <c r="G104" s="18"/>
      <c r="H104" s="18"/>
      <c r="I104" s="19">
        <f>E104*50/C104</f>
        <v>1.5384615384615384E-2</v>
      </c>
      <c r="J104" s="85"/>
    </row>
    <row r="105" spans="1:11">
      <c r="A105" s="104"/>
      <c r="B105" s="81">
        <f>B104+7</f>
        <v>43527</v>
      </c>
      <c r="C105" s="20">
        <f>D104+G104-H104</f>
        <v>2585.5296189587757</v>
      </c>
      <c r="D105" s="17">
        <f>C105+(C105*0.03)</f>
        <v>2663.0955075275388</v>
      </c>
      <c r="E105" s="17">
        <f>C105/3250</f>
        <v>0.79554757506423868</v>
      </c>
      <c r="F105" s="28">
        <f>(D105-C105)/E105</f>
        <v>97.49999999999973</v>
      </c>
      <c r="G105" s="18"/>
      <c r="H105" s="18"/>
      <c r="I105" s="19">
        <f>E105*50/C105</f>
        <v>1.5384615384615385E-2</v>
      </c>
      <c r="J105" s="85"/>
    </row>
    <row r="106" spans="1:11">
      <c r="A106" s="104"/>
      <c r="B106" s="81">
        <f>B105+7</f>
        <v>43534</v>
      </c>
      <c r="C106" s="20">
        <f>D105+G105-H105</f>
        <v>2663.0955075275388</v>
      </c>
      <c r="D106" s="17">
        <f>C106+(C106*0.03)</f>
        <v>2742.9883727533647</v>
      </c>
      <c r="E106" s="17">
        <f>C106/3250</f>
        <v>0.81941400231616579</v>
      </c>
      <c r="F106" s="28">
        <f>(D106-C106)/E106</f>
        <v>97.499999999999758</v>
      </c>
      <c r="G106" s="18"/>
      <c r="H106" s="18"/>
      <c r="I106" s="19">
        <f>E106*50/C106</f>
        <v>1.5384615384615385E-2</v>
      </c>
      <c r="J106" s="85"/>
    </row>
    <row r="107" spans="1:11" ht="13.5" thickBot="1">
      <c r="A107" s="105"/>
      <c r="B107" s="81">
        <f>B106+7</f>
        <v>43541</v>
      </c>
      <c r="C107" s="20">
        <f>D106+G106-H106</f>
        <v>2742.9883727533647</v>
      </c>
      <c r="D107" s="17">
        <f>C107+(C107*0.03)</f>
        <v>2825.2780239359658</v>
      </c>
      <c r="E107" s="17">
        <f>C107/3250</f>
        <v>0.84399642238565065</v>
      </c>
      <c r="F107" s="28">
        <f>(D107-C107)/E107</f>
        <v>97.500000000000213</v>
      </c>
      <c r="G107" s="18"/>
      <c r="H107" s="80">
        <f>(D107-C94)*0.35</f>
        <v>295.28970169857143</v>
      </c>
      <c r="I107" s="19">
        <f>E107*50/C107</f>
        <v>1.5384615384615384E-2</v>
      </c>
      <c r="J107" s="85"/>
      <c r="K107" s="102" t="s">
        <v>49</v>
      </c>
    </row>
    <row r="108" spans="1:11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6"/>
    </row>
    <row r="109" spans="1:11">
      <c r="A109" s="103">
        <v>22</v>
      </c>
      <c r="B109" s="81">
        <f>B107+7</f>
        <v>43548</v>
      </c>
      <c r="C109" s="20">
        <f>D107+G107-H107</f>
        <v>2529.9883222373946</v>
      </c>
      <c r="D109" s="17">
        <f>C109+(C109*0.03)</f>
        <v>2605.8879719045167</v>
      </c>
      <c r="E109" s="17">
        <f>C109/3250</f>
        <v>0.77845794530381374</v>
      </c>
      <c r="F109" s="28">
        <f>(D109-C109)/E109</f>
        <v>97.50000000000027</v>
      </c>
      <c r="G109" s="18"/>
      <c r="H109" s="18"/>
      <c r="I109" s="19">
        <f>E109*50/C109</f>
        <v>1.5384615384615384E-2</v>
      </c>
      <c r="J109" s="85"/>
    </row>
    <row r="110" spans="1:11">
      <c r="A110" s="104"/>
      <c r="B110" s="81">
        <f>B109+7</f>
        <v>43555</v>
      </c>
      <c r="C110" s="20">
        <f>D109+G109-H109</f>
        <v>2605.8879719045167</v>
      </c>
      <c r="D110" s="17">
        <f>C110+(C110*0.03)</f>
        <v>2684.0646110616522</v>
      </c>
      <c r="E110" s="17">
        <f>C110/3250</f>
        <v>0.80181168366292821</v>
      </c>
      <c r="F110" s="28">
        <f>(D110-C110)/E110</f>
        <v>97.499999999999957</v>
      </c>
      <c r="G110" s="18"/>
      <c r="H110" s="18"/>
      <c r="I110" s="19">
        <f>E110*50/C110</f>
        <v>1.5384615384615385E-2</v>
      </c>
      <c r="J110" s="85"/>
    </row>
    <row r="111" spans="1:11">
      <c r="A111" s="104"/>
      <c r="B111" s="81">
        <f>B110+7</f>
        <v>43562</v>
      </c>
      <c r="C111" s="20">
        <f>D110+G110-H110</f>
        <v>2684.0646110616522</v>
      </c>
      <c r="D111" s="17">
        <f>C111+(C111*0.03)</f>
        <v>2764.5865493935016</v>
      </c>
      <c r="E111" s="17">
        <f>C111/3250</f>
        <v>0.82586603417281601</v>
      </c>
      <c r="F111" s="28">
        <f>(D111-C111)/E111</f>
        <v>97.499999999999886</v>
      </c>
      <c r="G111" s="18"/>
      <c r="H111" s="18"/>
      <c r="I111" s="19">
        <f>E111*50/C111</f>
        <v>1.5384615384615382E-2</v>
      </c>
      <c r="J111" s="85"/>
    </row>
    <row r="112" spans="1:11" ht="13" thickBot="1">
      <c r="A112" s="105"/>
      <c r="B112" s="81">
        <f>B111+7</f>
        <v>43569</v>
      </c>
      <c r="C112" s="20">
        <f>D111+G111-H111</f>
        <v>2764.5865493935016</v>
      </c>
      <c r="D112" s="17">
        <f>C112+(C112*0.03)</f>
        <v>2847.5241458753067</v>
      </c>
      <c r="E112" s="17">
        <f>C112/3250</f>
        <v>0.85064201519800053</v>
      </c>
      <c r="F112" s="28">
        <f>(D112-C112)/E112</f>
        <v>97.499999999999972</v>
      </c>
      <c r="G112" s="18"/>
      <c r="H112" s="80"/>
      <c r="I112" s="19">
        <f>E112*50/C112</f>
        <v>1.5384615384615385E-2</v>
      </c>
      <c r="J112" s="85"/>
    </row>
    <row r="113" spans="1:11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6"/>
    </row>
    <row r="114" spans="1:11">
      <c r="A114" s="103">
        <v>23</v>
      </c>
      <c r="B114" s="81">
        <f>B112+7</f>
        <v>43576</v>
      </c>
      <c r="C114" s="20">
        <f>D112+G112-H112</f>
        <v>2847.5241458753067</v>
      </c>
      <c r="D114" s="17">
        <f>C114+(C114*0.03)</f>
        <v>2932.9498702515657</v>
      </c>
      <c r="E114" s="17">
        <f>C114/3250</f>
        <v>0.87616127565394053</v>
      </c>
      <c r="F114" s="28">
        <f>(D114-C114)/E114</f>
        <v>97.499999999999815</v>
      </c>
      <c r="G114" s="18"/>
      <c r="H114" s="18"/>
      <c r="I114" s="19">
        <f>E114*50/C114</f>
        <v>1.5384615384615385E-2</v>
      </c>
      <c r="J114" s="85"/>
    </row>
    <row r="115" spans="1:11">
      <c r="A115" s="104"/>
      <c r="B115" s="81">
        <f>B114+7</f>
        <v>43583</v>
      </c>
      <c r="C115" s="20">
        <f>D114+G114-H114</f>
        <v>2932.9498702515657</v>
      </c>
      <c r="D115" s="17">
        <f>C115+(C115*0.03)</f>
        <v>3020.9383663591125</v>
      </c>
      <c r="E115" s="17">
        <f>C115/3250</f>
        <v>0.90244611392355867</v>
      </c>
      <c r="F115" s="28">
        <f>(D115-C115)/E115</f>
        <v>97.499999999999787</v>
      </c>
      <c r="G115" s="18"/>
      <c r="H115" s="18"/>
      <c r="I115" s="19">
        <f>E115*50/C115</f>
        <v>1.5384615384615384E-2</v>
      </c>
      <c r="J115" s="85"/>
    </row>
    <row r="116" spans="1:11">
      <c r="A116" s="104"/>
      <c r="B116" s="81">
        <f>B115+7</f>
        <v>43590</v>
      </c>
      <c r="C116" s="20">
        <f>D115+G115-H115</f>
        <v>3020.9383663591125</v>
      </c>
      <c r="D116" s="17">
        <f>C116+(C116*0.03)</f>
        <v>3111.566517349886</v>
      </c>
      <c r="E116" s="17">
        <f>C116/3250</f>
        <v>0.92951949734126538</v>
      </c>
      <c r="F116" s="28">
        <f>(D116-C116)/E116</f>
        <v>97.500000000000156</v>
      </c>
      <c r="G116" s="18"/>
      <c r="H116" s="18"/>
      <c r="I116" s="19">
        <f>E116*50/C116</f>
        <v>1.5384615384615385E-2</v>
      </c>
      <c r="J116" s="85"/>
    </row>
    <row r="117" spans="1:11" ht="13" thickBot="1">
      <c r="A117" s="105"/>
      <c r="B117" s="81">
        <f>B116+7</f>
        <v>43597</v>
      </c>
      <c r="C117" s="20">
        <f>D116+G116-H116</f>
        <v>3111.566517349886</v>
      </c>
      <c r="D117" s="17">
        <f>C117+(C117*0.03)</f>
        <v>3204.9135128703824</v>
      </c>
      <c r="E117" s="17">
        <f>C117/3250</f>
        <v>0.95740508226150334</v>
      </c>
      <c r="F117" s="28">
        <f>(D117-C117)/E117</f>
        <v>97.499999999999844</v>
      </c>
      <c r="G117" s="18"/>
      <c r="H117" s="80"/>
      <c r="I117" s="19">
        <f>E117*50/C117</f>
        <v>1.5384615384615385E-2</v>
      </c>
      <c r="J117" s="85"/>
    </row>
    <row r="118" spans="1:11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6"/>
    </row>
    <row r="119" spans="1:11">
      <c r="A119" s="103">
        <v>24</v>
      </c>
      <c r="B119" s="81">
        <f>B117+7</f>
        <v>43604</v>
      </c>
      <c r="C119" s="20">
        <f>D117+G117-H117</f>
        <v>3204.9135128703824</v>
      </c>
      <c r="D119" s="17">
        <f>C119+(C119*0.03)</f>
        <v>3301.060918256494</v>
      </c>
      <c r="E119" s="17">
        <f>C119/3250</f>
        <v>0.98612723472934849</v>
      </c>
      <c r="F119" s="28">
        <f>(D119-C119)/E119</f>
        <v>97.500000000000114</v>
      </c>
      <c r="G119" s="18"/>
      <c r="H119" s="18"/>
      <c r="I119" s="19">
        <f>E119*50/C119</f>
        <v>1.5384615384615385E-2</v>
      </c>
      <c r="J119" s="85"/>
    </row>
    <row r="120" spans="1:11">
      <c r="A120" s="104"/>
      <c r="B120" s="81">
        <f>B119+7</f>
        <v>43611</v>
      </c>
      <c r="C120" s="20">
        <f>D119+G119-H119</f>
        <v>3301.060918256494</v>
      </c>
      <c r="D120" s="17">
        <f>C120+(C120*0.03)</f>
        <v>3400.0927458041888</v>
      </c>
      <c r="E120" s="17">
        <f>C120/3250</f>
        <v>1.0157110517712289</v>
      </c>
      <c r="F120" s="28">
        <f>(D120-C120)/E120</f>
        <v>97.499999999999957</v>
      </c>
      <c r="G120" s="18"/>
      <c r="H120" s="18"/>
      <c r="I120" s="19">
        <f>E120*50/C120</f>
        <v>1.5384615384615384E-2</v>
      </c>
      <c r="J120" s="85"/>
    </row>
    <row r="121" spans="1:11">
      <c r="A121" s="104"/>
      <c r="B121" s="81">
        <f>B120+7</f>
        <v>43618</v>
      </c>
      <c r="C121" s="20">
        <f>D120+G120-H120</f>
        <v>3400.0927458041888</v>
      </c>
      <c r="D121" s="17">
        <f>C121+(C121*0.03)</f>
        <v>3502.0955281783145</v>
      </c>
      <c r="E121" s="17">
        <f>C121/3250</f>
        <v>1.0461823833243657</v>
      </c>
      <c r="F121" s="28">
        <f>(D121-C121)/E121</f>
        <v>97.500000000000014</v>
      </c>
      <c r="G121" s="18"/>
      <c r="H121" s="18"/>
      <c r="I121" s="19">
        <f>E121*50/C121</f>
        <v>1.5384615384615384E-2</v>
      </c>
      <c r="J121" s="85"/>
    </row>
    <row r="122" spans="1:11" ht="13.5" thickBot="1">
      <c r="A122" s="105"/>
      <c r="B122" s="81">
        <f>B121+7</f>
        <v>43625</v>
      </c>
      <c r="C122" s="20">
        <f>D121+G121-H121</f>
        <v>3502.0955281783145</v>
      </c>
      <c r="D122" s="17">
        <f>C122+(C122*0.03)</f>
        <v>3607.1583940236637</v>
      </c>
      <c r="E122" s="17">
        <f>C122/3250</f>
        <v>1.0775678548240968</v>
      </c>
      <c r="F122" s="28">
        <f>(D122-C122)/E122</f>
        <v>97.499999999999858</v>
      </c>
      <c r="G122" s="18"/>
      <c r="H122" s="80">
        <f>(D122-C109)*0.35</f>
        <v>377.00952512519416</v>
      </c>
      <c r="I122" s="19">
        <f>E122*50/C122</f>
        <v>1.5384615384615385E-2</v>
      </c>
      <c r="J122" s="85"/>
      <c r="K122" s="102" t="s">
        <v>49</v>
      </c>
    </row>
    <row r="123" spans="1:11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6"/>
    </row>
    <row r="124" spans="1:11">
      <c r="A124" s="103">
        <v>25</v>
      </c>
      <c r="B124" s="81">
        <f>B122+7</f>
        <v>43632</v>
      </c>
      <c r="C124" s="20">
        <f>D122+G122-H122</f>
        <v>3230.1488688984696</v>
      </c>
      <c r="D124" s="17">
        <f>C124+(C124*0.03)</f>
        <v>3327.0533349654238</v>
      </c>
      <c r="E124" s="17">
        <f>C124/3250</f>
        <v>0.99389195966106758</v>
      </c>
      <c r="F124" s="28">
        <f>(D124-C124)/E124</f>
        <v>97.500000000000142</v>
      </c>
      <c r="G124" s="17"/>
      <c r="H124" s="18"/>
      <c r="I124" s="19">
        <f>E124*50/C124</f>
        <v>1.5384615384615384E-2</v>
      </c>
      <c r="J124" s="85"/>
    </row>
    <row r="125" spans="1:11">
      <c r="A125" s="104"/>
      <c r="B125" s="81">
        <f>B124+7</f>
        <v>43639</v>
      </c>
      <c r="C125" s="20">
        <f>D124+G124-H124</f>
        <v>3327.0533349654238</v>
      </c>
      <c r="D125" s="17">
        <f>C125+(C125*0.03)</f>
        <v>3426.8649350143864</v>
      </c>
      <c r="E125" s="17">
        <f>C125/3250</f>
        <v>1.0237087184508997</v>
      </c>
      <c r="F125" s="28">
        <f>(D125-C125)/E125</f>
        <v>97.499999999999929</v>
      </c>
      <c r="G125" s="17"/>
      <c r="H125" s="18"/>
      <c r="I125" s="19">
        <f>E125*50/C125</f>
        <v>1.5384615384615385E-2</v>
      </c>
      <c r="J125" s="85"/>
    </row>
    <row r="126" spans="1:11">
      <c r="A126" s="104"/>
      <c r="B126" s="81">
        <f>B125+7</f>
        <v>43646</v>
      </c>
      <c r="C126" s="20">
        <f>D125+G125-H125</f>
        <v>3426.8649350143864</v>
      </c>
      <c r="D126" s="17">
        <f>C126+(C126*0.03)</f>
        <v>3529.6708830648181</v>
      </c>
      <c r="E126" s="17">
        <f>C126/3250</f>
        <v>1.0544199800044265</v>
      </c>
      <c r="F126" s="28">
        <f>(D126-C126)/E126</f>
        <v>97.500000000000071</v>
      </c>
      <c r="G126" s="17"/>
      <c r="H126" s="18"/>
      <c r="I126" s="19">
        <f>E126*50/C126</f>
        <v>1.5384615384615384E-2</v>
      </c>
      <c r="J126" s="85"/>
    </row>
    <row r="127" spans="1:11" ht="13" thickBot="1">
      <c r="A127" s="105"/>
      <c r="B127" s="81">
        <f>B126+7</f>
        <v>43653</v>
      </c>
      <c r="C127" s="20">
        <f>D126+G126-H126</f>
        <v>3529.6708830648181</v>
      </c>
      <c r="D127" s="17">
        <f>C127+(C127*0.03)</f>
        <v>3635.5610095567627</v>
      </c>
      <c r="E127" s="17">
        <f>C127/3250</f>
        <v>1.0860525794045595</v>
      </c>
      <c r="F127" s="28">
        <f>(D127-C127)/E127</f>
        <v>97.500000000000014</v>
      </c>
      <c r="G127" s="18"/>
      <c r="H127" s="80"/>
      <c r="I127" s="19">
        <f>E127*50/C127</f>
        <v>1.5384615384615385E-2</v>
      </c>
      <c r="J127" s="85"/>
    </row>
    <row r="128" spans="1:11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6"/>
    </row>
    <row r="129" spans="1:11">
      <c r="A129" s="103">
        <v>26</v>
      </c>
      <c r="B129" s="81">
        <f>B127+7</f>
        <v>43660</v>
      </c>
      <c r="C129" s="20">
        <f>D127+G127-H127</f>
        <v>3635.5610095567627</v>
      </c>
      <c r="D129" s="17">
        <f>C129+(C129*0.03)</f>
        <v>3744.6278398434656</v>
      </c>
      <c r="E129" s="17">
        <f>C129/3250</f>
        <v>1.1186341567866962</v>
      </c>
      <c r="F129" s="28">
        <f>(D129-C129)/E129</f>
        <v>97.500000000000071</v>
      </c>
      <c r="G129" s="18"/>
      <c r="H129" s="18"/>
      <c r="I129" s="19">
        <f>E129*50/C129</f>
        <v>1.5384615384615385E-2</v>
      </c>
      <c r="J129" s="85"/>
    </row>
    <row r="130" spans="1:11">
      <c r="A130" s="104"/>
      <c r="B130" s="81">
        <f>B129+7</f>
        <v>43667</v>
      </c>
      <c r="C130" s="20">
        <f>D129+G129-H129</f>
        <v>3744.6278398434656</v>
      </c>
      <c r="D130" s="17">
        <f>C130+(C130*0.03)</f>
        <v>3856.9666750387696</v>
      </c>
      <c r="E130" s="17">
        <f>C130/3250</f>
        <v>1.152193181490297</v>
      </c>
      <c r="F130" s="28">
        <f>(D130-C130)/E130</f>
        <v>97.500000000000028</v>
      </c>
      <c r="G130" s="18"/>
      <c r="H130" s="18"/>
      <c r="I130" s="19">
        <f>E130*50/C130</f>
        <v>1.5384615384615384E-2</v>
      </c>
      <c r="J130" s="85"/>
    </row>
    <row r="131" spans="1:11">
      <c r="A131" s="104"/>
      <c r="B131" s="81">
        <f>B130+7</f>
        <v>43674</v>
      </c>
      <c r="C131" s="20">
        <f>D130+G130-H130</f>
        <v>3856.9666750387696</v>
      </c>
      <c r="D131" s="17">
        <f>C131+(C131*0.03)</f>
        <v>3972.6756752899328</v>
      </c>
      <c r="E131" s="17">
        <f>C131/3250</f>
        <v>1.186758976935006</v>
      </c>
      <c r="F131" s="28">
        <f>(D131-C131)/E131</f>
        <v>97.500000000000071</v>
      </c>
      <c r="G131" s="18"/>
      <c r="H131" s="18"/>
      <c r="I131" s="19">
        <f>E131*50/C131</f>
        <v>1.5384615384615384E-2</v>
      </c>
      <c r="J131" s="85"/>
    </row>
    <row r="132" spans="1:11" ht="13" thickBot="1">
      <c r="A132" s="105"/>
      <c r="B132" s="81">
        <f>B131+7</f>
        <v>43681</v>
      </c>
      <c r="C132" s="20">
        <f>D131+G131-H131</f>
        <v>3972.6756752899328</v>
      </c>
      <c r="D132" s="17">
        <f>C132+(C132*0.03)</f>
        <v>4091.8559455486306</v>
      </c>
      <c r="E132" s="17">
        <f>C132/3250</f>
        <v>1.2223617462430563</v>
      </c>
      <c r="F132" s="28">
        <f>(D132-C132)/E132</f>
        <v>97.499999999999915</v>
      </c>
      <c r="G132" s="18"/>
      <c r="H132" s="80"/>
      <c r="I132" s="19">
        <f>E132*50/C132</f>
        <v>1.5384615384615385E-2</v>
      </c>
      <c r="J132" s="85"/>
    </row>
    <row r="133" spans="1:11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6"/>
    </row>
    <row r="134" spans="1:11">
      <c r="A134" s="103">
        <v>27</v>
      </c>
      <c r="B134" s="81">
        <f>B132+7</f>
        <v>43688</v>
      </c>
      <c r="C134" s="20">
        <f>D132+G132-H132</f>
        <v>4091.8559455486306</v>
      </c>
      <c r="D134" s="17">
        <f>C134+(C134*0.03)</f>
        <v>4214.6116239150897</v>
      </c>
      <c r="E134" s="17">
        <f>C134/3250</f>
        <v>1.2590325986303479</v>
      </c>
      <c r="F134" s="28">
        <f>(D134-C134)/E134</f>
        <v>97.500000000000099</v>
      </c>
      <c r="G134" s="18"/>
      <c r="H134" s="18"/>
      <c r="I134" s="19">
        <f>E134*50/C134</f>
        <v>1.5384615384615385E-2</v>
      </c>
      <c r="J134" s="85"/>
    </row>
    <row r="135" spans="1:11">
      <c r="A135" s="104"/>
      <c r="B135" s="81">
        <f>B134+7</f>
        <v>43695</v>
      </c>
      <c r="C135" s="20">
        <f>D134+G134-H134</f>
        <v>4214.6116239150897</v>
      </c>
      <c r="D135" s="17">
        <f>C135+(C135*0.03)</f>
        <v>4341.0499726325424</v>
      </c>
      <c r="E135" s="17">
        <f>C135/3250</f>
        <v>1.2968035765892583</v>
      </c>
      <c r="F135" s="28">
        <f>(D135-C135)/E135</f>
        <v>97.500000000000057</v>
      </c>
      <c r="G135" s="18"/>
      <c r="H135" s="18"/>
      <c r="I135" s="19">
        <f>E135*50/C135</f>
        <v>1.5384615384615384E-2</v>
      </c>
      <c r="J135" s="85"/>
    </row>
    <row r="136" spans="1:11">
      <c r="A136" s="104"/>
      <c r="B136" s="81">
        <f>B135+7</f>
        <v>43702</v>
      </c>
      <c r="C136" s="20">
        <f>D135+G135-H135</f>
        <v>4341.0499726325424</v>
      </c>
      <c r="D136" s="17">
        <f>C136+(C136*0.03)</f>
        <v>4471.2814718115187</v>
      </c>
      <c r="E136" s="17">
        <f>C136/3250</f>
        <v>1.3357076838869362</v>
      </c>
      <c r="F136" s="28">
        <f>(D136-C136)/E136</f>
        <v>97.499999999999986</v>
      </c>
      <c r="G136" s="18"/>
      <c r="H136" s="18"/>
      <c r="I136" s="19">
        <f>E136*50/C136</f>
        <v>1.5384615384615384E-2</v>
      </c>
      <c r="J136" s="85"/>
    </row>
    <row r="137" spans="1:11" ht="13.5" thickBot="1">
      <c r="A137" s="105"/>
      <c r="B137" s="81">
        <f>B136+7</f>
        <v>43709</v>
      </c>
      <c r="C137" s="20">
        <f>D136+G136-H136</f>
        <v>4471.2814718115187</v>
      </c>
      <c r="D137" s="17">
        <f>C137+(C137*0.03)</f>
        <v>4605.4199159658647</v>
      </c>
      <c r="E137" s="17">
        <f>C137/3250</f>
        <v>1.3757789144035442</v>
      </c>
      <c r="F137" s="28">
        <f>(D137-C137)/E137</f>
        <v>97.500000000000298</v>
      </c>
      <c r="G137" s="18"/>
      <c r="H137" s="80">
        <f>(D137-C124)*0.35</f>
        <v>481.34486647358824</v>
      </c>
      <c r="I137" s="19">
        <f>E137*50/C137</f>
        <v>1.5384615384615384E-2</v>
      </c>
      <c r="J137" s="85"/>
      <c r="K137" s="102" t="s">
        <v>49</v>
      </c>
    </row>
    <row r="138" spans="1:11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89"/>
    </row>
    <row r="139" spans="1:11">
      <c r="A139" s="103">
        <v>28</v>
      </c>
      <c r="B139" s="81">
        <f>B137+7</f>
        <v>43716</v>
      </c>
      <c r="C139" s="20">
        <f>D137+G137-H137</f>
        <v>4124.0750494922768</v>
      </c>
      <c r="D139" s="17">
        <f>C139+(C139*0.03)</f>
        <v>4247.7973009770449</v>
      </c>
      <c r="E139" s="17">
        <f>C139/3250</f>
        <v>1.2689461690745467</v>
      </c>
      <c r="F139" s="28">
        <f>(D139-C139)/E139</f>
        <v>97.499999999999829</v>
      </c>
      <c r="G139" s="18"/>
      <c r="H139" s="18"/>
      <c r="I139" s="19">
        <f>E139*50/C139</f>
        <v>1.5384615384615385E-2</v>
      </c>
      <c r="J139" s="85"/>
    </row>
    <row r="140" spans="1:11">
      <c r="A140" s="104"/>
      <c r="B140" s="81">
        <f>B139+7</f>
        <v>43723</v>
      </c>
      <c r="C140" s="20">
        <f>D139+G139-H139</f>
        <v>4247.7973009770449</v>
      </c>
      <c r="D140" s="17">
        <f>C140+(C140*0.03)</f>
        <v>4375.2312200063561</v>
      </c>
      <c r="E140" s="17">
        <f>C140/3250</f>
        <v>1.307014554146783</v>
      </c>
      <c r="F140" s="28">
        <f>(D140-C140)/E140</f>
        <v>97.499999999999929</v>
      </c>
      <c r="G140" s="18"/>
      <c r="H140" s="18"/>
      <c r="I140" s="19">
        <f>E140*50/C140</f>
        <v>1.5384615384615384E-2</v>
      </c>
      <c r="J140" s="85"/>
    </row>
    <row r="141" spans="1:11">
      <c r="A141" s="104"/>
      <c r="B141" s="81">
        <f>B140+7</f>
        <v>43730</v>
      </c>
      <c r="C141" s="20">
        <f>D140+G140-H140</f>
        <v>4375.2312200063561</v>
      </c>
      <c r="D141" s="17">
        <f>C141+(C141*0.03)</f>
        <v>4506.4881566065469</v>
      </c>
      <c r="E141" s="17">
        <f>C141/3250</f>
        <v>1.3462249907711865</v>
      </c>
      <c r="F141" s="28">
        <f>(D141-C141)/E141</f>
        <v>97.500000000000071</v>
      </c>
      <c r="G141" s="18"/>
      <c r="H141" s="18"/>
      <c r="I141" s="19">
        <f>E141*50/C141</f>
        <v>1.5384615384615384E-2</v>
      </c>
      <c r="J141" s="85"/>
    </row>
    <row r="142" spans="1:11" ht="13" thickBot="1">
      <c r="A142" s="105"/>
      <c r="B142" s="81">
        <f>B141+7</f>
        <v>43737</v>
      </c>
      <c r="C142" s="20">
        <f>D141+G141-H141</f>
        <v>4506.4881566065469</v>
      </c>
      <c r="D142" s="17">
        <f>C142+(C142*0.03)</f>
        <v>4641.6828013047434</v>
      </c>
      <c r="E142" s="17">
        <f>C142/3250</f>
        <v>1.3866117404943221</v>
      </c>
      <c r="F142" s="28">
        <f>(D142-C142)/E142</f>
        <v>97.500000000000071</v>
      </c>
      <c r="G142" s="18"/>
      <c r="H142" s="80"/>
      <c r="I142" s="19">
        <f>E142*50/C142</f>
        <v>1.5384615384615385E-2</v>
      </c>
      <c r="J142" s="85"/>
    </row>
    <row r="143" spans="1:11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6"/>
    </row>
    <row r="144" spans="1:11">
      <c r="A144" s="103">
        <v>29</v>
      </c>
      <c r="B144" s="81">
        <f>B142+7</f>
        <v>43744</v>
      </c>
      <c r="C144" s="20">
        <f>D142+G142-H142</f>
        <v>4641.6828013047434</v>
      </c>
      <c r="D144" s="17">
        <f>C144+(C144*0.03)</f>
        <v>4780.9332853438855</v>
      </c>
      <c r="E144" s="17">
        <f>C144/3250</f>
        <v>1.4282100927091519</v>
      </c>
      <c r="F144" s="28">
        <f>(D144-C144)/E144</f>
        <v>97.499999999999829</v>
      </c>
      <c r="G144" s="18"/>
      <c r="H144" s="18"/>
      <c r="I144" s="19">
        <f>E144*50/C144</f>
        <v>1.5384615384615387E-2</v>
      </c>
      <c r="J144" s="85"/>
    </row>
    <row r="145" spans="1:11">
      <c r="A145" s="104"/>
      <c r="B145" s="81">
        <f>B144+7</f>
        <v>43751</v>
      </c>
      <c r="C145" s="20">
        <f>D144+G144-H144</f>
        <v>4780.9332853438855</v>
      </c>
      <c r="D145" s="17">
        <f>C145+(C145*0.03)</f>
        <v>4924.3612839042016</v>
      </c>
      <c r="E145" s="17">
        <f>C145/3250</f>
        <v>1.4710563954904263</v>
      </c>
      <c r="F145" s="28">
        <f>(D145-C145)/E145</f>
        <v>97.499999999999716</v>
      </c>
      <c r="G145" s="18"/>
      <c r="H145" s="18"/>
      <c r="I145" s="19">
        <f>E145*50/C145</f>
        <v>1.5384615384615384E-2</v>
      </c>
      <c r="J145" s="85"/>
    </row>
    <row r="146" spans="1:11">
      <c r="A146" s="104"/>
      <c r="B146" s="81">
        <f>B145+7</f>
        <v>43758</v>
      </c>
      <c r="C146" s="20">
        <f>D145+G145-H145</f>
        <v>4924.3612839042016</v>
      </c>
      <c r="D146" s="17">
        <f>C146+(C146*0.03)</f>
        <v>5072.092122421328</v>
      </c>
      <c r="E146" s="17">
        <f>C146/3250</f>
        <v>1.5151880873551389</v>
      </c>
      <c r="F146" s="28">
        <f>(D146-C146)/E146</f>
        <v>97.500000000000213</v>
      </c>
      <c r="G146" s="18"/>
      <c r="H146" s="18"/>
      <c r="I146" s="19">
        <f>E146*50/C146</f>
        <v>1.5384615384615384E-2</v>
      </c>
      <c r="J146" s="85"/>
    </row>
    <row r="147" spans="1:11" ht="13" thickBot="1">
      <c r="A147" s="105"/>
      <c r="B147" s="81">
        <f>B146+7</f>
        <v>43765</v>
      </c>
      <c r="C147" s="20">
        <f>D146+G146-H146</f>
        <v>5072.092122421328</v>
      </c>
      <c r="D147" s="17">
        <f>C147+(C147*0.03)</f>
        <v>5224.2548860939678</v>
      </c>
      <c r="E147" s="17">
        <f>C147/3250</f>
        <v>1.5606437299757931</v>
      </c>
      <c r="F147" s="28">
        <f>(D147-C147)/E147</f>
        <v>97.499999999999986</v>
      </c>
      <c r="G147" s="18"/>
      <c r="H147" s="80"/>
      <c r="I147" s="19">
        <f>E147*50/C147</f>
        <v>1.5384615384615384E-2</v>
      </c>
      <c r="J147" s="85"/>
    </row>
    <row r="148" spans="1:11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6"/>
    </row>
    <row r="149" spans="1:11">
      <c r="A149" s="103">
        <v>30</v>
      </c>
      <c r="B149" s="81">
        <f>B147+7</f>
        <v>43772</v>
      </c>
      <c r="C149" s="20">
        <f>D147+G147-H147</f>
        <v>5224.2548860939678</v>
      </c>
      <c r="D149" s="17">
        <f>C149+(C149*0.03)</f>
        <v>5380.9825326767868</v>
      </c>
      <c r="E149" s="17">
        <f>C149/3250</f>
        <v>1.6074630418750671</v>
      </c>
      <c r="F149" s="28">
        <f>(D149-C149)/E149</f>
        <v>97.5</v>
      </c>
      <c r="G149" s="18"/>
      <c r="H149" s="18"/>
      <c r="I149" s="19">
        <f>E149*50/C149</f>
        <v>1.5384615384615384E-2</v>
      </c>
      <c r="J149" s="85"/>
    </row>
    <row r="150" spans="1:11">
      <c r="A150" s="104"/>
      <c r="B150" s="81">
        <f>B149+7</f>
        <v>43779</v>
      </c>
      <c r="C150" s="20">
        <f>D149+G149-H149</f>
        <v>5380.9825326767868</v>
      </c>
      <c r="D150" s="17">
        <f>C150+(C150*0.03)</f>
        <v>5542.4120086570902</v>
      </c>
      <c r="E150" s="17">
        <f>C150/3250</f>
        <v>1.6556869331313191</v>
      </c>
      <c r="F150" s="28">
        <f>(D150-C150)/E150</f>
        <v>97.499999999999829</v>
      </c>
      <c r="G150" s="18"/>
      <c r="H150" s="18"/>
      <c r="I150" s="19">
        <f>E150*50/C150</f>
        <v>1.5384615384615385E-2</v>
      </c>
      <c r="J150" s="85"/>
    </row>
    <row r="151" spans="1:11">
      <c r="A151" s="104"/>
      <c r="B151" s="81">
        <f>B150+7</f>
        <v>43786</v>
      </c>
      <c r="C151" s="20">
        <f>D150+G150-H150</f>
        <v>5542.4120086570902</v>
      </c>
      <c r="D151" s="17">
        <f>C151+(C151*0.03)</f>
        <v>5708.6843689168027</v>
      </c>
      <c r="E151" s="17">
        <f>C151/3250</f>
        <v>1.7053575411252586</v>
      </c>
      <c r="F151" s="28">
        <f>(D151-C151)/E151</f>
        <v>97.499999999999886</v>
      </c>
      <c r="G151" s="18"/>
      <c r="H151" s="18"/>
      <c r="I151" s="19">
        <f>E151*50/C151</f>
        <v>1.5384615384615385E-2</v>
      </c>
      <c r="J151" s="85"/>
    </row>
    <row r="152" spans="1:11" ht="13.5" thickBot="1">
      <c r="A152" s="105"/>
      <c r="B152" s="81">
        <f>B151+7</f>
        <v>43793</v>
      </c>
      <c r="C152" s="20">
        <f>D151+G151-H151</f>
        <v>5708.6843689168027</v>
      </c>
      <c r="D152" s="17">
        <f>C152+(C152*0.03)</f>
        <v>5879.9448999843071</v>
      </c>
      <c r="E152" s="17">
        <f>C152/3250</f>
        <v>1.7565182673590163</v>
      </c>
      <c r="F152" s="28">
        <f>(D152-C152)/E152</f>
        <v>97.500000000000185</v>
      </c>
      <c r="G152" s="18"/>
      <c r="H152" s="80">
        <f>(D152-C139)*0.35</f>
        <v>614.55444767221059</v>
      </c>
      <c r="I152" s="19">
        <f>E152*50/C152</f>
        <v>1.5384615384615385E-2</v>
      </c>
      <c r="J152" s="85"/>
      <c r="K152" s="102" t="s">
        <v>49</v>
      </c>
    </row>
    <row r="153" spans="1:11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6"/>
    </row>
    <row r="154" spans="1:11">
      <c r="A154" s="103">
        <v>31</v>
      </c>
      <c r="B154" s="81">
        <f>B152+7</f>
        <v>43800</v>
      </c>
      <c r="C154" s="20">
        <f>D152+G152-H152</f>
        <v>5265.3904523120964</v>
      </c>
      <c r="D154" s="17">
        <f>C154+(C154*0.03)</f>
        <v>5423.3521658814589</v>
      </c>
      <c r="E154" s="17">
        <f>C154/3250</f>
        <v>1.6201201391729527</v>
      </c>
      <c r="F154" s="28">
        <f>(D154-C154)/E154</f>
        <v>97.499999999999744</v>
      </c>
      <c r="G154" s="17"/>
      <c r="H154" s="79"/>
      <c r="I154" s="19">
        <f>E154*50/C154</f>
        <v>1.5384615384615384E-2</v>
      </c>
      <c r="J154" s="85"/>
    </row>
    <row r="155" spans="1:11">
      <c r="A155" s="104"/>
      <c r="B155" s="81">
        <f>B154+7</f>
        <v>43807</v>
      </c>
      <c r="C155" s="20">
        <f>D154+G154-H154</f>
        <v>5423.3521658814589</v>
      </c>
      <c r="D155" s="17">
        <f>C155+(C155*0.03)</f>
        <v>5586.052730857903</v>
      </c>
      <c r="E155" s="17">
        <f>C155/3250</f>
        <v>1.6687237433481412</v>
      </c>
      <c r="F155" s="28">
        <f>(D155-C155)/E155</f>
        <v>97.500000000000256</v>
      </c>
      <c r="G155" s="17"/>
      <c r="H155" s="79"/>
      <c r="I155" s="19">
        <f>E155*50/C155</f>
        <v>1.5384615384615384E-2</v>
      </c>
      <c r="J155" s="85"/>
    </row>
    <row r="156" spans="1:11">
      <c r="A156" s="104"/>
      <c r="B156" s="81">
        <f>B155+7</f>
        <v>43814</v>
      </c>
      <c r="C156" s="20">
        <f>D155+G155-H155</f>
        <v>5586.052730857903</v>
      </c>
      <c r="D156" s="17">
        <f>C156+(C156*0.03)</f>
        <v>5753.6343127836399</v>
      </c>
      <c r="E156" s="17">
        <f>C156/3250</f>
        <v>1.7187854556485855</v>
      </c>
      <c r="F156" s="28">
        <f>(D156-C156)/E156</f>
        <v>97.499999999999844</v>
      </c>
      <c r="G156" s="17"/>
      <c r="H156" s="79"/>
      <c r="I156" s="19">
        <f>E156*50/C156</f>
        <v>1.5384615384615384E-2</v>
      </c>
      <c r="J156" s="85"/>
    </row>
    <row r="157" spans="1:11" ht="13" thickBot="1">
      <c r="A157" s="105"/>
      <c r="B157" s="81">
        <f>B156+7</f>
        <v>43821</v>
      </c>
      <c r="C157" s="20">
        <f>D156+G156-H156</f>
        <v>5753.6343127836399</v>
      </c>
      <c r="D157" s="17">
        <f>C157+(C157*0.03)</f>
        <v>5926.2433421671494</v>
      </c>
      <c r="E157" s="17">
        <f>C157/3250</f>
        <v>1.7703490193180431</v>
      </c>
      <c r="F157" s="28">
        <f>(D157-C157)/E157</f>
        <v>97.500000000000199</v>
      </c>
      <c r="G157" s="18"/>
      <c r="H157" s="80"/>
      <c r="I157" s="19">
        <f>E157*50/C157</f>
        <v>1.5384615384615385E-2</v>
      </c>
      <c r="J157" s="85"/>
    </row>
    <row r="158" spans="1:11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6"/>
    </row>
    <row r="159" spans="1:11">
      <c r="A159" s="103">
        <v>32</v>
      </c>
      <c r="B159" s="81">
        <f>B157+7</f>
        <v>43828</v>
      </c>
      <c r="C159" s="20">
        <f>D157+G157-H157</f>
        <v>5926.2433421671494</v>
      </c>
      <c r="D159" s="17">
        <f>C159+(C159*0.03)</f>
        <v>6104.0306424321643</v>
      </c>
      <c r="E159" s="17">
        <f>C159/3250</f>
        <v>1.8234594898975844</v>
      </c>
      <c r="F159" s="28">
        <f>(D159-C159)/E159</f>
        <v>97.500000000000227</v>
      </c>
      <c r="G159" s="18"/>
      <c r="H159" s="18"/>
      <c r="I159" s="19">
        <f>E159*50/C159</f>
        <v>1.5384615384615385E-2</v>
      </c>
      <c r="J159" s="85"/>
    </row>
    <row r="160" spans="1:11">
      <c r="A160" s="104"/>
      <c r="B160" s="81">
        <f>B159+7</f>
        <v>43835</v>
      </c>
      <c r="C160" s="20">
        <f>D159+G159-H159</f>
        <v>6104.0306424321643</v>
      </c>
      <c r="D160" s="17">
        <f>C160+(C160*0.03)</f>
        <v>6287.1515617051291</v>
      </c>
      <c r="E160" s="17">
        <f>C160/3250</f>
        <v>1.878163274594512</v>
      </c>
      <c r="F160" s="28">
        <f>(D160-C160)/E160</f>
        <v>97.499999999999929</v>
      </c>
      <c r="G160" s="18"/>
      <c r="H160" s="18"/>
      <c r="I160" s="19">
        <f>E160*50/C160</f>
        <v>1.5384615384615384E-2</v>
      </c>
      <c r="J160" s="85"/>
    </row>
    <row r="161" spans="1:11">
      <c r="A161" s="104"/>
      <c r="B161" s="81">
        <f>B160+7</f>
        <v>43842</v>
      </c>
      <c r="C161" s="20">
        <f>D160+G160-H160</f>
        <v>6287.1515617051291</v>
      </c>
      <c r="D161" s="17">
        <f>C161+(C161*0.03)</f>
        <v>6475.7661085562831</v>
      </c>
      <c r="E161" s="17">
        <f>C161/3250</f>
        <v>1.9345081728323474</v>
      </c>
      <c r="F161" s="28">
        <f>(D161-C161)/E161</f>
        <v>97.500000000000085</v>
      </c>
      <c r="G161" s="18"/>
      <c r="H161" s="18"/>
      <c r="I161" s="19">
        <f>E161*50/C161</f>
        <v>1.5384615384615385E-2</v>
      </c>
      <c r="J161" s="85"/>
    </row>
    <row r="162" spans="1:11" ht="13" thickBot="1">
      <c r="A162" s="105"/>
      <c r="B162" s="81">
        <f>B161+7</f>
        <v>43849</v>
      </c>
      <c r="C162" s="20">
        <f>D161+G161-H161</f>
        <v>6475.7661085562831</v>
      </c>
      <c r="D162" s="17">
        <f>C162+(C162*0.03)</f>
        <v>6670.0390918129715</v>
      </c>
      <c r="E162" s="17">
        <f>C162/3250</f>
        <v>1.9925434180173178</v>
      </c>
      <c r="F162" s="28">
        <f>(D162-C162)/E162</f>
        <v>97.499999999999929</v>
      </c>
      <c r="G162" s="18"/>
      <c r="H162" s="80"/>
      <c r="I162" s="19">
        <f>E162*50/C162</f>
        <v>1.5384615384615384E-2</v>
      </c>
      <c r="J162" s="85"/>
    </row>
    <row r="163" spans="1:11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6"/>
    </row>
    <row r="164" spans="1:11">
      <c r="A164" s="103">
        <v>33</v>
      </c>
      <c r="B164" s="81">
        <f>B162+7</f>
        <v>43856</v>
      </c>
      <c r="C164" s="20">
        <f>D162+G162-H162</f>
        <v>6670.0390918129715</v>
      </c>
      <c r="D164" s="17">
        <f>C164+(C164*0.03)</f>
        <v>6870.1402645673606</v>
      </c>
      <c r="E164" s="17">
        <f>C164/3250</f>
        <v>2.0523197205578372</v>
      </c>
      <c r="F164" s="28">
        <f>(D164-C164)/E164</f>
        <v>97.500000000000014</v>
      </c>
      <c r="G164" s="18"/>
      <c r="H164" s="18"/>
      <c r="I164" s="19">
        <f>E164*50/C164</f>
        <v>1.5384615384615384E-2</v>
      </c>
      <c r="J164" s="85"/>
    </row>
    <row r="165" spans="1:11">
      <c r="A165" s="104"/>
      <c r="B165" s="81">
        <f>B164+7</f>
        <v>43863</v>
      </c>
      <c r="C165" s="20">
        <f>D164+G164-H164</f>
        <v>6870.1402645673606</v>
      </c>
      <c r="D165" s="17">
        <f>C165+(C165*0.03)</f>
        <v>7076.2444725043815</v>
      </c>
      <c r="E165" s="17">
        <f>C165/3250</f>
        <v>2.1138893121745723</v>
      </c>
      <c r="F165" s="28">
        <f>(D165-C165)/E165</f>
        <v>97.500000000000028</v>
      </c>
      <c r="G165" s="18"/>
      <c r="H165" s="18"/>
      <c r="I165" s="19">
        <f>E165*50/C165</f>
        <v>1.5384615384615384E-2</v>
      </c>
      <c r="J165" s="85"/>
    </row>
    <row r="166" spans="1:11">
      <c r="A166" s="104"/>
      <c r="B166" s="81">
        <f>B165+7</f>
        <v>43870</v>
      </c>
      <c r="C166" s="20">
        <f>D165+G165-H165</f>
        <v>7076.2444725043815</v>
      </c>
      <c r="D166" s="17">
        <f>C166+(C166*0.03)</f>
        <v>7288.5318066795126</v>
      </c>
      <c r="E166" s="17">
        <f>C166/3250</f>
        <v>2.1773059915398099</v>
      </c>
      <c r="F166" s="28">
        <f>(D166-C166)/E166</f>
        <v>97.499999999999801</v>
      </c>
      <c r="G166" s="18"/>
      <c r="H166" s="18"/>
      <c r="I166" s="19">
        <f>E166*50/C166</f>
        <v>1.5384615384615385E-2</v>
      </c>
      <c r="J166" s="85"/>
    </row>
    <row r="167" spans="1:11" ht="13.5" thickBot="1">
      <c r="A167" s="105"/>
      <c r="B167" s="81">
        <f>B166+7</f>
        <v>43877</v>
      </c>
      <c r="C167" s="20">
        <f>D166+G166-H166</f>
        <v>7288.5318066795126</v>
      </c>
      <c r="D167" s="17">
        <f>C167+(C167*0.03)</f>
        <v>7507.1877608798977</v>
      </c>
      <c r="E167" s="17">
        <f>C167/3250</f>
        <v>2.2426251712860039</v>
      </c>
      <c r="F167" s="28">
        <f>(D167-C167)/E167</f>
        <v>97.499999999999901</v>
      </c>
      <c r="G167" s="18"/>
      <c r="H167" s="80">
        <f>(D167-C154)*0.35</f>
        <v>784.62905799873045</v>
      </c>
      <c r="I167" s="19">
        <f>E167*50/C167</f>
        <v>1.5384615384615385E-2</v>
      </c>
      <c r="J167" s="85"/>
      <c r="K167" s="102" t="s">
        <v>49</v>
      </c>
    </row>
    <row r="168" spans="1:11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6"/>
    </row>
    <row r="169" spans="1:11">
      <c r="A169" s="103">
        <v>34</v>
      </c>
      <c r="B169" s="81">
        <f>B167+7</f>
        <v>43884</v>
      </c>
      <c r="C169" s="20">
        <f>D167+G167-H167</f>
        <v>6722.5587028811669</v>
      </c>
      <c r="D169" s="17">
        <f>C169+(C169*0.03)</f>
        <v>6924.2354639676023</v>
      </c>
      <c r="E169" s="17">
        <f>C169/3250</f>
        <v>2.0684796008865129</v>
      </c>
      <c r="F169" s="28">
        <f>(D169-C169)/E169</f>
        <v>97.500000000000171</v>
      </c>
      <c r="G169" s="18"/>
      <c r="H169" s="18"/>
      <c r="I169" s="19">
        <f>E169*50/C169</f>
        <v>1.5384615384615385E-2</v>
      </c>
      <c r="J169" s="85"/>
    </row>
    <row r="170" spans="1:11">
      <c r="A170" s="104"/>
      <c r="B170" s="81">
        <f>B169+7</f>
        <v>43891</v>
      </c>
      <c r="C170" s="20">
        <f>D169+G169-H169</f>
        <v>6924.2354639676023</v>
      </c>
      <c r="D170" s="17">
        <f>C170+(C170*0.03)</f>
        <v>7131.9625278866306</v>
      </c>
      <c r="E170" s="17">
        <f>C170/3250</f>
        <v>2.1305339889131085</v>
      </c>
      <c r="F170" s="28">
        <f>(D170-C170)/E170</f>
        <v>97.500000000000099</v>
      </c>
      <c r="G170" s="18"/>
      <c r="H170" s="18"/>
      <c r="I170" s="19">
        <f>E170*50/C170</f>
        <v>1.5384615384615385E-2</v>
      </c>
      <c r="J170" s="85"/>
    </row>
    <row r="171" spans="1:11">
      <c r="A171" s="104"/>
      <c r="B171" s="81">
        <f>B170+7</f>
        <v>43898</v>
      </c>
      <c r="C171" s="20">
        <f>D170+G170-H170</f>
        <v>7131.9625278866306</v>
      </c>
      <c r="D171" s="17">
        <f>C171+(C171*0.03)</f>
        <v>7345.9214037232296</v>
      </c>
      <c r="E171" s="17">
        <f>C171/3250</f>
        <v>2.1944500085805019</v>
      </c>
      <c r="F171" s="28">
        <f>(D171-C171)/E171</f>
        <v>97.500000000000014</v>
      </c>
      <c r="G171" s="18"/>
      <c r="H171" s="18"/>
      <c r="I171" s="19">
        <f>E171*50/C171</f>
        <v>1.5384615384615385E-2</v>
      </c>
      <c r="J171" s="85"/>
    </row>
    <row r="172" spans="1:11" ht="13" thickBot="1">
      <c r="A172" s="105"/>
      <c r="B172" s="81">
        <f>B171+7</f>
        <v>43905</v>
      </c>
      <c r="C172" s="20">
        <f>D171+G171-H171</f>
        <v>7345.9214037232296</v>
      </c>
      <c r="D172" s="17">
        <f>C172+(C172*0.03)</f>
        <v>7566.2990458349268</v>
      </c>
      <c r="E172" s="17">
        <f>C172/3250</f>
        <v>2.260283508837917</v>
      </c>
      <c r="F172" s="28">
        <f>(D172-C172)/E172</f>
        <v>97.500000000000156</v>
      </c>
      <c r="G172" s="18"/>
      <c r="H172" s="80"/>
      <c r="I172" s="19">
        <f>E172*50/C172</f>
        <v>1.5384615384615385E-2</v>
      </c>
      <c r="J172" s="85"/>
    </row>
    <row r="173" spans="1:11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6"/>
    </row>
    <row r="174" spans="1:11">
      <c r="A174" s="103">
        <v>35</v>
      </c>
      <c r="B174" s="81">
        <f>B172+7</f>
        <v>43912</v>
      </c>
      <c r="C174" s="20">
        <f>D172+G172-H172</f>
        <v>7566.2990458349268</v>
      </c>
      <c r="D174" s="17">
        <f>C174+(C174*0.03)</f>
        <v>7793.2880172099749</v>
      </c>
      <c r="E174" s="17">
        <f>C174/3250</f>
        <v>2.3280920141030546</v>
      </c>
      <c r="F174" s="28">
        <f>(D174-C174)/E174</f>
        <v>97.500000000000114</v>
      </c>
      <c r="G174" s="18"/>
      <c r="H174" s="18"/>
      <c r="I174" s="19">
        <f>E174*50/C174</f>
        <v>1.5384615384615385E-2</v>
      </c>
      <c r="J174" s="85"/>
    </row>
    <row r="175" spans="1:11">
      <c r="A175" s="104"/>
      <c r="B175" s="81">
        <f>B174+7</f>
        <v>43919</v>
      </c>
      <c r="C175" s="20">
        <f>D174+G174-H174</f>
        <v>7793.2880172099749</v>
      </c>
      <c r="D175" s="17">
        <f>C175+(C175*0.03)</f>
        <v>8027.0866577262741</v>
      </c>
      <c r="E175" s="17">
        <f>C175/3250</f>
        <v>2.3979347745261461</v>
      </c>
      <c r="F175" s="28">
        <f>(D175-C175)/E175</f>
        <v>97.499999999999986</v>
      </c>
      <c r="G175" s="18"/>
      <c r="H175" s="18"/>
      <c r="I175" s="19">
        <f>E175*50/C175</f>
        <v>1.5384615384615384E-2</v>
      </c>
      <c r="J175" s="85"/>
    </row>
    <row r="176" spans="1:11">
      <c r="A176" s="104"/>
      <c r="B176" s="81">
        <f>B175+7</f>
        <v>43926</v>
      </c>
      <c r="C176" s="20">
        <f>D175+G175-H175</f>
        <v>8027.0866577262741</v>
      </c>
      <c r="D176" s="17">
        <f>C176+(C176*0.03)</f>
        <v>8267.8992574580625</v>
      </c>
      <c r="E176" s="17">
        <f>C176/3250</f>
        <v>2.4698728177619307</v>
      </c>
      <c r="F176" s="28">
        <f>(D176-C176)/E176</f>
        <v>97.500000000000057</v>
      </c>
      <c r="G176" s="18"/>
      <c r="H176" s="18"/>
      <c r="I176" s="19">
        <f>E176*50/C176</f>
        <v>1.5384615384615385E-2</v>
      </c>
      <c r="J176" s="85"/>
    </row>
    <row r="177" spans="1:11" ht="13.5" thickBot="1">
      <c r="A177" s="105"/>
      <c r="B177" s="81">
        <f>B176+7</f>
        <v>43933</v>
      </c>
      <c r="C177" s="20">
        <f>D176+G176-H176</f>
        <v>8267.8992574580625</v>
      </c>
      <c r="D177" s="17">
        <f>C177+(C177*0.03)</f>
        <v>8515.9362351818036</v>
      </c>
      <c r="E177" s="17">
        <f>C177/3250</f>
        <v>2.5439690022947885</v>
      </c>
      <c r="F177" s="28">
        <f>(D177-C177)/E177</f>
        <v>97.499999999999687</v>
      </c>
      <c r="G177" s="18"/>
      <c r="H177" s="80">
        <f>(D177-C169)*0.35</f>
        <v>627.6821363052228</v>
      </c>
      <c r="I177" s="19">
        <f>E177*50/C177</f>
        <v>1.5384615384615385E-2</v>
      </c>
      <c r="J177" s="85"/>
      <c r="K177" s="102" t="s">
        <v>49</v>
      </c>
    </row>
    <row r="178" spans="1:11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6"/>
    </row>
  </sheetData>
  <mergeCells count="36">
    <mergeCell ref="A169:A172"/>
    <mergeCell ref="A174:A177"/>
    <mergeCell ref="A154:A157"/>
    <mergeCell ref="A159:A162"/>
    <mergeCell ref="A164:A167"/>
    <mergeCell ref="A139:A142"/>
    <mergeCell ref="A144:A147"/>
    <mergeCell ref="A149:A152"/>
    <mergeCell ref="A124:A127"/>
    <mergeCell ref="A129:A132"/>
    <mergeCell ref="A134:A137"/>
    <mergeCell ref="A109:A112"/>
    <mergeCell ref="A114:A117"/>
    <mergeCell ref="A119:A122"/>
    <mergeCell ref="A94:A97"/>
    <mergeCell ref="A99:A102"/>
    <mergeCell ref="A104:A107"/>
    <mergeCell ref="A79:A82"/>
    <mergeCell ref="A84:A87"/>
    <mergeCell ref="A89:A92"/>
    <mergeCell ref="A64:A67"/>
    <mergeCell ref="A69:A72"/>
    <mergeCell ref="A74:A77"/>
    <mergeCell ref="A49:A52"/>
    <mergeCell ref="A54:A57"/>
    <mergeCell ref="A59:A62"/>
    <mergeCell ref="A34:A37"/>
    <mergeCell ref="A39:A42"/>
    <mergeCell ref="A44:A47"/>
    <mergeCell ref="A19:A22"/>
    <mergeCell ref="A24:A27"/>
    <mergeCell ref="A29:A32"/>
    <mergeCell ref="A14:A17"/>
    <mergeCell ref="B1:J1"/>
    <mergeCell ref="A4:A7"/>
    <mergeCell ref="A9:A1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K178"/>
  <sheetViews>
    <sheetView topLeftCell="A14" workbookViewId="0">
      <selection activeCell="C36" sqref="C36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1" width="61.6328125" style="75" bestFit="1" customWidth="1"/>
    <col min="12" max="16384" width="9.1796875" style="75"/>
  </cols>
  <sheetData>
    <row r="1" spans="1:10" ht="13.5" thickBot="1">
      <c r="B1" s="106"/>
      <c r="C1" s="107"/>
      <c r="D1" s="107"/>
      <c r="E1" s="107"/>
      <c r="F1" s="107"/>
      <c r="G1" s="107"/>
      <c r="H1" s="107"/>
      <c r="I1" s="107"/>
      <c r="J1" s="107"/>
    </row>
    <row r="2" spans="1:10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0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0">
      <c r="A4" s="103">
        <v>1</v>
      </c>
      <c r="B4" s="81">
        <v>42946</v>
      </c>
      <c r="C4" s="20">
        <v>1492</v>
      </c>
      <c r="D4" s="17">
        <f>C4+(C4*-0.0045)</f>
        <v>1485.2860000000001</v>
      </c>
      <c r="E4" s="17">
        <f>C4/3250</f>
        <v>0.4590769230769231</v>
      </c>
      <c r="F4" s="37">
        <f>(D4-C4)/E4</f>
        <v>-14.624999999999872</v>
      </c>
      <c r="G4" s="18"/>
      <c r="H4" s="18"/>
      <c r="I4" s="19">
        <f>E4*50/C4</f>
        <v>1.5384615384615385E-2</v>
      </c>
      <c r="J4" s="90">
        <f>(D4-C4)/C4</f>
        <v>-4.4999999999999606E-3</v>
      </c>
    </row>
    <row r="5" spans="1:10">
      <c r="A5" s="104"/>
      <c r="B5" s="81">
        <f>B4+7</f>
        <v>42953</v>
      </c>
      <c r="C5" s="20">
        <f>D4+G4-H4</f>
        <v>1485.2860000000001</v>
      </c>
      <c r="D5" s="17">
        <f>C5+(C5*-0.0326)</f>
        <v>1436.8656764</v>
      </c>
      <c r="E5" s="17">
        <f>C5/3250</f>
        <v>0.45701107692307696</v>
      </c>
      <c r="F5" s="37">
        <f>(D5-C5)/E5</f>
        <v>-105.95000000000016</v>
      </c>
      <c r="G5" s="18"/>
      <c r="H5" s="18"/>
      <c r="I5" s="19">
        <f>E5*50/C5</f>
        <v>1.5384615384615385E-2</v>
      </c>
      <c r="J5" s="90">
        <f>(D5-C4)/C4</f>
        <v>-3.6953300000000008E-2</v>
      </c>
    </row>
    <row r="6" spans="1:10">
      <c r="A6" s="104"/>
      <c r="B6" s="81">
        <f>B5+7</f>
        <v>42960</v>
      </c>
      <c r="C6" s="20">
        <f>D5+G5-H5</f>
        <v>1436.8656764</v>
      </c>
      <c r="D6" s="17">
        <f>C6+(C6*-0.02)</f>
        <v>1408.128362872</v>
      </c>
      <c r="E6" s="17">
        <f>C6/3250</f>
        <v>0.44211251581538463</v>
      </c>
      <c r="F6" s="37">
        <f>(D6-C6)/E6</f>
        <v>-64.999999999999901</v>
      </c>
      <c r="G6" s="18"/>
      <c r="H6" s="18"/>
      <c r="I6" s="19">
        <f>E6*50/C6</f>
        <v>1.5384615384615385E-2</v>
      </c>
      <c r="J6" s="90">
        <f>(D6-C4)/C4</f>
        <v>-5.6214233999999981E-2</v>
      </c>
    </row>
    <row r="7" spans="1:10" ht="13" thickBot="1">
      <c r="A7" s="105"/>
      <c r="B7" s="81">
        <f>B6+7</f>
        <v>42967</v>
      </c>
      <c r="C7" s="20">
        <f>D6+G6-H6</f>
        <v>1408.128362872</v>
      </c>
      <c r="D7" s="17">
        <f>C7+(C7*0.0596)</f>
        <v>1492.0528132991712</v>
      </c>
      <c r="E7" s="17">
        <f>C7/3250</f>
        <v>0.43327026549907693</v>
      </c>
      <c r="F7" s="34">
        <f>(D7-C7)/E7</f>
        <v>193.70000000000005</v>
      </c>
      <c r="G7" s="18"/>
      <c r="H7" s="18"/>
      <c r="I7" s="19">
        <f>E7*50/C7</f>
        <v>1.5384615384615384E-2</v>
      </c>
      <c r="J7" s="90">
        <f>(D7-C4)/C4</f>
        <v>3.5397653600032319E-5</v>
      </c>
    </row>
    <row r="8" spans="1:10" ht="13" thickBot="1">
      <c r="A8" s="78"/>
      <c r="B8" s="13"/>
      <c r="C8" s="22"/>
      <c r="D8" s="23"/>
      <c r="E8" s="23"/>
      <c r="F8" s="27"/>
      <c r="G8" s="23"/>
      <c r="H8" s="10"/>
      <c r="I8" s="24"/>
      <c r="J8" s="91"/>
    </row>
    <row r="9" spans="1:10">
      <c r="A9" s="103">
        <v>2</v>
      </c>
      <c r="B9" s="81">
        <f>B7+7</f>
        <v>42974</v>
      </c>
      <c r="C9" s="20">
        <f>D7+G7-H7</f>
        <v>1492.0528132991712</v>
      </c>
      <c r="D9" s="99">
        <f>C9+(C9*-0.0884)</f>
        <v>1360.1553446035246</v>
      </c>
      <c r="E9" s="17">
        <f>C9/3250</f>
        <v>0.4590931733228219</v>
      </c>
      <c r="F9" s="95">
        <f>(D9-C9)/E9</f>
        <v>-287.2999999999999</v>
      </c>
      <c r="G9" s="18"/>
      <c r="H9" s="18"/>
      <c r="I9" s="19">
        <f>E9*50/C9</f>
        <v>1.5384615384615385E-2</v>
      </c>
      <c r="J9" s="90">
        <f>(D9-C4)/C4</f>
        <v>-8.8367731498978183E-2</v>
      </c>
    </row>
    <row r="10" spans="1:10">
      <c r="A10" s="104"/>
      <c r="B10" s="81">
        <f>B9+7</f>
        <v>42981</v>
      </c>
      <c r="C10" s="20">
        <f>D9+G9-H9</f>
        <v>1360.1553446035246</v>
      </c>
      <c r="D10" s="99">
        <f>C10+(C10*-0.0583)</f>
        <v>1280.8582880131391</v>
      </c>
      <c r="E10" s="17">
        <f>C10/5500</f>
        <v>0.24730097174609536</v>
      </c>
      <c r="F10" s="95">
        <f>(D10-C10)/E10</f>
        <v>-320.64999999999975</v>
      </c>
      <c r="G10" s="18"/>
      <c r="H10" s="18"/>
      <c r="I10" s="19">
        <f>E10*50/C10</f>
        <v>9.0909090909090905E-3</v>
      </c>
      <c r="J10" s="90">
        <f>(D10-C4)/C4</f>
        <v>-0.14151589275258769</v>
      </c>
    </row>
    <row r="11" spans="1:10">
      <c r="A11" s="104"/>
      <c r="B11" s="81">
        <f>B10+7</f>
        <v>42988</v>
      </c>
      <c r="C11" s="20">
        <f>D10+G10-H10</f>
        <v>1280.8582880131391</v>
      </c>
      <c r="D11" s="21">
        <f>C11+(C11*0.1119)</f>
        <v>1424.1863304418093</v>
      </c>
      <c r="E11" s="17">
        <f>C11/5500</f>
        <v>0.23288332509329804</v>
      </c>
      <c r="F11" s="101">
        <f>(D11-C11)/E11</f>
        <v>615.44999999999959</v>
      </c>
      <c r="G11" s="18"/>
      <c r="H11" s="18"/>
      <c r="I11" s="19">
        <f>E11*50/C11</f>
        <v>9.0909090909090922E-3</v>
      </c>
      <c r="J11" s="90">
        <f>(D11-C4)/C4</f>
        <v>-4.5451521151602323E-2</v>
      </c>
    </row>
    <row r="12" spans="1:10" ht="13" thickBot="1">
      <c r="A12" s="105"/>
      <c r="B12" s="81">
        <f>B11+7</f>
        <v>42995</v>
      </c>
      <c r="C12" s="20">
        <f>D11+G11-H11</f>
        <v>1424.1863304418093</v>
      </c>
      <c r="D12" s="99">
        <f>C12+(C12*-0.073)</f>
        <v>1320.2207283195573</v>
      </c>
      <c r="E12" s="17">
        <f>C12/5500</f>
        <v>0.25894296917123805</v>
      </c>
      <c r="F12" s="95">
        <f>(D12-C12)/E12</f>
        <v>-401.49999999999966</v>
      </c>
      <c r="G12" s="18"/>
      <c r="H12" s="18"/>
      <c r="I12" s="19">
        <f>E12*50/C12</f>
        <v>9.0909090909090905E-3</v>
      </c>
      <c r="J12" s="90">
        <f>(D12-C4)/C4</f>
        <v>-0.1151335601075353</v>
      </c>
    </row>
    <row r="13" spans="1:10" ht="13" thickBot="1">
      <c r="A13" s="78"/>
      <c r="B13" s="13"/>
      <c r="C13" s="22"/>
      <c r="D13" s="23"/>
      <c r="E13" s="23"/>
      <c r="F13" s="27"/>
      <c r="G13" s="23"/>
      <c r="H13" s="10"/>
      <c r="I13" s="24"/>
      <c r="J13" s="86"/>
    </row>
    <row r="14" spans="1:10">
      <c r="A14" s="103">
        <v>3</v>
      </c>
      <c r="B14" s="81">
        <f>B12+7</f>
        <v>43002</v>
      </c>
      <c r="C14" s="20">
        <f>D12+G12-H12</f>
        <v>1320.2207283195573</v>
      </c>
      <c r="D14" s="17">
        <f>C14+(C14*-0.0103)</f>
        <v>1306.6224548178659</v>
      </c>
      <c r="E14" s="17">
        <f>C14/5500</f>
        <v>0.24004013242173769</v>
      </c>
      <c r="F14" s="37">
        <f>(D14-C14)/E14</f>
        <v>-56.649999999999991</v>
      </c>
      <c r="G14" s="18"/>
      <c r="H14" s="18"/>
      <c r="I14" s="19">
        <f>E14*50/C14</f>
        <v>9.0909090909090905E-3</v>
      </c>
      <c r="J14" s="90">
        <f>(D14-C4)/C4</f>
        <v>-0.12424768443842768</v>
      </c>
    </row>
    <row r="15" spans="1:10">
      <c r="A15" s="104"/>
      <c r="B15" s="81">
        <f>B14+7</f>
        <v>43009</v>
      </c>
      <c r="C15" s="20">
        <f>D14+G14-H14</f>
        <v>1306.6224548178659</v>
      </c>
      <c r="D15" s="99">
        <f>C15+(C15*-0.0544)</f>
        <v>1235.542193275774</v>
      </c>
      <c r="E15" s="17">
        <f>C15/5500</f>
        <v>0.23756771905779381</v>
      </c>
      <c r="F15" s="95">
        <f>(D15-C15)/E15</f>
        <v>-299.19999999999987</v>
      </c>
      <c r="G15" s="18"/>
      <c r="H15" s="18"/>
      <c r="I15" s="19">
        <f>E15*50/C15</f>
        <v>9.0909090909090905E-3</v>
      </c>
      <c r="J15" s="90">
        <f>(D15-C4)/C4</f>
        <v>-0.17188861040497719</v>
      </c>
    </row>
    <row r="16" spans="1:10">
      <c r="A16" s="104"/>
      <c r="B16" s="81">
        <f>B15+7</f>
        <v>43016</v>
      </c>
      <c r="C16" s="20">
        <f>D15+G15-H15</f>
        <v>1235.542193275774</v>
      </c>
      <c r="D16" s="17">
        <f>C16+(C16*-0.0579)</f>
        <v>1164.0043002851066</v>
      </c>
      <c r="E16" s="17">
        <f>C16/3000</f>
        <v>0.41184739775859136</v>
      </c>
      <c r="F16" s="37">
        <f>(D16-C16)/E16</f>
        <v>-173.70000000000016</v>
      </c>
      <c r="G16" s="18"/>
      <c r="H16" s="18"/>
      <c r="I16" s="19">
        <f>E16*50/C16</f>
        <v>1.6666666666666666E-2</v>
      </c>
      <c r="J16" s="90">
        <f>(D16-C4)/C4</f>
        <v>-0.21983625986252905</v>
      </c>
    </row>
    <row r="17" spans="1:11" ht="13.5" thickBot="1">
      <c r="A17" s="105"/>
      <c r="B17" s="81">
        <f>B16+7</f>
        <v>43023</v>
      </c>
      <c r="C17" s="20">
        <f>D16+G16-H16</f>
        <v>1164.0043002851066</v>
      </c>
      <c r="D17" s="21">
        <f>C17+(C17*0.0774)</f>
        <v>1254.0982331271739</v>
      </c>
      <c r="E17" s="17">
        <f>C17/3000</f>
        <v>0.3880014334283689</v>
      </c>
      <c r="F17" s="101">
        <f>(D17-C17)/E17</f>
        <v>232.20000000000002</v>
      </c>
      <c r="G17" s="18"/>
      <c r="H17" s="80">
        <f>(D17-C4)*0.3</f>
        <v>-71.37053006184783</v>
      </c>
      <c r="I17" s="19">
        <f>E17*50/C17</f>
        <v>1.6666666666666666E-2</v>
      </c>
      <c r="J17" s="90">
        <f>(C19-C4)/C4</f>
        <v>-0.11161611046312217</v>
      </c>
      <c r="K17" s="102" t="s">
        <v>48</v>
      </c>
    </row>
    <row r="18" spans="1:11" ht="13" thickBot="1">
      <c r="A18" s="78"/>
      <c r="B18" s="13"/>
      <c r="C18" s="22"/>
      <c r="D18" s="23"/>
      <c r="E18" s="23"/>
      <c r="F18" s="27"/>
      <c r="G18" s="23"/>
      <c r="H18" s="10"/>
      <c r="I18" s="24"/>
      <c r="J18" s="86"/>
    </row>
    <row r="19" spans="1:11">
      <c r="A19" s="103">
        <v>4</v>
      </c>
      <c r="B19" s="81">
        <f>B17+7</f>
        <v>43030</v>
      </c>
      <c r="C19" s="20">
        <f>D17+G17-H17</f>
        <v>1325.4687631890217</v>
      </c>
      <c r="D19" s="21">
        <f>C19+(C19*0.0717)</f>
        <v>1420.5048735096746</v>
      </c>
      <c r="E19" s="17">
        <f>C19/3000</f>
        <v>0.44182292106300725</v>
      </c>
      <c r="F19" s="101">
        <f>(D19-C19)/E19</f>
        <v>215.09999999999991</v>
      </c>
      <c r="G19" s="18"/>
      <c r="H19" s="18"/>
      <c r="I19" s="19">
        <f>E19*50/C19</f>
        <v>1.6666666666666666E-2</v>
      </c>
      <c r="J19" s="90">
        <f>(D19-C4)/C4</f>
        <v>-4.791898558332805E-2</v>
      </c>
    </row>
    <row r="20" spans="1:11">
      <c r="A20" s="104"/>
      <c r="B20" s="81">
        <f>B19+7</f>
        <v>43037</v>
      </c>
      <c r="C20" s="20">
        <f>D19+G19-H19</f>
        <v>1420.5048735096746</v>
      </c>
      <c r="D20" s="21">
        <f>C20+(C20*0.09)</f>
        <v>1548.3503121255453</v>
      </c>
      <c r="E20" s="17">
        <f>C20/3000</f>
        <v>0.47350162450322486</v>
      </c>
      <c r="F20" s="101">
        <f>(D20-C20)/E20</f>
        <v>270.00000000000011</v>
      </c>
      <c r="G20" s="18"/>
      <c r="H20" s="18"/>
      <c r="I20" s="19">
        <f>E20*50/C20</f>
        <v>1.6666666666666666E-2</v>
      </c>
      <c r="J20" s="87">
        <f>(D20-C4)/C4</f>
        <v>3.7768305714172466E-2</v>
      </c>
    </row>
    <row r="21" spans="1:11">
      <c r="A21" s="104"/>
      <c r="B21" s="81">
        <f>B20+7</f>
        <v>43044</v>
      </c>
      <c r="C21" s="20">
        <f>D20+G20-H20</f>
        <v>1548.3503121255453</v>
      </c>
      <c r="D21" s="17">
        <f>C21+(C21*-0.0353)</f>
        <v>1493.6935461075136</v>
      </c>
      <c r="E21" s="17">
        <f>C21/3000</f>
        <v>0.51611677070851514</v>
      </c>
      <c r="F21" s="37">
        <f>(D21-C21)/E21</f>
        <v>-105.89999999999991</v>
      </c>
      <c r="G21" s="18"/>
      <c r="H21" s="18"/>
      <c r="I21" s="19">
        <f>E21*50/C21</f>
        <v>1.6666666666666666E-2</v>
      </c>
      <c r="J21" s="87">
        <f>(D21-C4)/C4</f>
        <v>1.1350845224622063E-3</v>
      </c>
    </row>
    <row r="22" spans="1:11" ht="13" thickBot="1">
      <c r="A22" s="105"/>
      <c r="B22" s="81">
        <f>B21+7</f>
        <v>43051</v>
      </c>
      <c r="C22" s="20">
        <f>D21+G21-H21</f>
        <v>1493.6935461075136</v>
      </c>
      <c r="D22" s="99">
        <f>C22+(C22*-0.1562)</f>
        <v>1260.3786142055201</v>
      </c>
      <c r="E22" s="17">
        <f>C22/3000</f>
        <v>0.49789784870250453</v>
      </c>
      <c r="F22" s="95">
        <f>(D22-C22)/E22</f>
        <v>-468.5999999999998</v>
      </c>
      <c r="G22" s="18"/>
      <c r="H22" s="18"/>
      <c r="I22" s="19">
        <f>E22*50/C22</f>
        <v>1.6666666666666666E-2</v>
      </c>
      <c r="J22" s="90">
        <f>(D22-C4)/C4</f>
        <v>-0.15524221567994634</v>
      </c>
    </row>
    <row r="23" spans="1:11" ht="13" thickBot="1">
      <c r="A23" s="78"/>
      <c r="B23" s="13"/>
      <c r="C23" s="22"/>
      <c r="D23" s="23"/>
      <c r="E23" s="23"/>
      <c r="F23" s="27"/>
      <c r="G23" s="23"/>
      <c r="H23" s="10"/>
      <c r="I23" s="24"/>
      <c r="J23" s="86"/>
    </row>
    <row r="24" spans="1:11">
      <c r="A24" s="103">
        <v>5</v>
      </c>
      <c r="B24" s="81">
        <f>B22+7</f>
        <v>43058</v>
      </c>
      <c r="C24" s="20">
        <f>D22+G22-H22</f>
        <v>1260.3786142055201</v>
      </c>
      <c r="D24" s="21">
        <f>C24+(C24*0.081)</f>
        <v>1362.4692819561672</v>
      </c>
      <c r="E24" s="17">
        <f>C24/2500</f>
        <v>0.50415144568220804</v>
      </c>
      <c r="F24" s="101">
        <f>(D24-C24)/E24</f>
        <v>202.49999999999989</v>
      </c>
      <c r="G24" s="18"/>
      <c r="H24" s="18"/>
      <c r="I24" s="19">
        <f>E24*50/C24</f>
        <v>0.02</v>
      </c>
      <c r="J24" s="90">
        <f>(D24-C4)/C4</f>
        <v>-8.6816835150022018E-2</v>
      </c>
    </row>
    <row r="25" spans="1:11">
      <c r="A25" s="104"/>
      <c r="B25" s="81">
        <f>B24+7</f>
        <v>43065</v>
      </c>
      <c r="C25" s="20">
        <f>D24+G24-H24</f>
        <v>1362.4692819561672</v>
      </c>
      <c r="D25" s="17">
        <f>C25+(C25*-0.0343)</f>
        <v>1315.7365855850705</v>
      </c>
      <c r="E25" s="17">
        <f>C25/2500</f>
        <v>0.54498771278246683</v>
      </c>
      <c r="F25" s="37">
        <f>(D25-C25)/E25</f>
        <v>-85.750000000000142</v>
      </c>
      <c r="G25" s="18"/>
      <c r="H25" s="18"/>
      <c r="I25" s="19">
        <f>E25*50/C25</f>
        <v>0.02</v>
      </c>
      <c r="J25" s="90">
        <f>(D25-C4)/C4</f>
        <v>-0.11813901770437631</v>
      </c>
    </row>
    <row r="26" spans="1:11">
      <c r="A26" s="104"/>
      <c r="B26" s="81">
        <f>B25+7</f>
        <v>43072</v>
      </c>
      <c r="C26" s="20">
        <f>D25+G25-H25</f>
        <v>1315.7365855850705</v>
      </c>
      <c r="D26" s="21">
        <f>C26+(C26*0.10018)</f>
        <v>1447.547076728983</v>
      </c>
      <c r="E26" s="17">
        <f>C26/3250</f>
        <v>0.40484202633386784</v>
      </c>
      <c r="F26" s="101">
        <f>(D26-C26)/E26</f>
        <v>325.58500000000032</v>
      </c>
      <c r="G26" s="18"/>
      <c r="H26" s="18"/>
      <c r="I26" s="19">
        <f>E26*50/C26</f>
        <v>1.5384615384615385E-2</v>
      </c>
      <c r="J26" s="90">
        <f>(D26-C4)/C4</f>
        <v>-2.9794184498000649E-2</v>
      </c>
    </row>
    <row r="27" spans="1:11" ht="13" thickBot="1">
      <c r="A27" s="105"/>
      <c r="B27" s="81">
        <f>B26+7</f>
        <v>43079</v>
      </c>
      <c r="C27" s="20">
        <f>D26+G26-H26</f>
        <v>1447.547076728983</v>
      </c>
      <c r="D27" s="17">
        <f>C27+(C27*0.0214)</f>
        <v>1478.5245841709832</v>
      </c>
      <c r="E27" s="17">
        <f>C27/3250</f>
        <v>0.44539910053199477</v>
      </c>
      <c r="F27" s="34">
        <f>(D27-C27)/E27</f>
        <v>69.549999999999827</v>
      </c>
      <c r="G27" s="18"/>
      <c r="H27" s="18"/>
      <c r="I27" s="19">
        <f>E27*50/C27</f>
        <v>1.5384615384615384E-2</v>
      </c>
      <c r="J27" s="90">
        <f>(D27-C4)/C4</f>
        <v>-9.0317800462579156E-3</v>
      </c>
    </row>
    <row r="28" spans="1:11" ht="13" thickBot="1">
      <c r="A28" s="78"/>
      <c r="B28" s="13"/>
      <c r="C28" s="22"/>
      <c r="D28" s="23"/>
      <c r="E28" s="23"/>
      <c r="F28" s="27"/>
      <c r="G28" s="23"/>
      <c r="H28" s="10"/>
      <c r="I28" s="24"/>
      <c r="J28" s="86"/>
    </row>
    <row r="29" spans="1:11">
      <c r="A29" s="103">
        <v>6</v>
      </c>
      <c r="B29" s="81">
        <f>B27+7</f>
        <v>43086</v>
      </c>
      <c r="C29" s="20">
        <f>D27+G27-H27</f>
        <v>1478.5245841709832</v>
      </c>
      <c r="D29" s="17">
        <f>C29+(C29*0.0087)</f>
        <v>1491.3877480532708</v>
      </c>
      <c r="E29" s="17">
        <f>C29/3250</f>
        <v>0.45493064128337946</v>
      </c>
      <c r="F29" s="34">
        <f>(D29-C29)/E29</f>
        <v>28.275000000000119</v>
      </c>
      <c r="G29" s="18"/>
      <c r="H29" s="18"/>
      <c r="I29" s="19">
        <f>E29*50/C29</f>
        <v>1.5384615384615385E-2</v>
      </c>
      <c r="J29" s="87">
        <f>(D29-C4)/C4</f>
        <v>-4.103565326603232E-4</v>
      </c>
    </row>
    <row r="30" spans="1:11">
      <c r="A30" s="104"/>
      <c r="B30" s="81">
        <f>B29+7</f>
        <v>43093</v>
      </c>
      <c r="C30" s="20">
        <f>D29+G29-H29</f>
        <v>1491.3877480532708</v>
      </c>
      <c r="D30" s="17">
        <f>C30+(C30*0)</f>
        <v>1491.3877480532708</v>
      </c>
      <c r="E30" s="17">
        <f>C30/3250</f>
        <v>0.45888853786254485</v>
      </c>
      <c r="F30" s="37">
        <f>(D30-C30)/E30</f>
        <v>0</v>
      </c>
      <c r="G30" s="18"/>
      <c r="H30" s="18"/>
      <c r="I30" s="19">
        <f>E30*50/C30</f>
        <v>1.5384615384615385E-2</v>
      </c>
      <c r="J30" s="87">
        <f>(D30-C4)/C4</f>
        <v>-4.103565326603232E-4</v>
      </c>
    </row>
    <row r="31" spans="1:11">
      <c r="A31" s="104"/>
      <c r="B31" s="81">
        <f>B30+7</f>
        <v>43100</v>
      </c>
      <c r="C31" s="20">
        <f>D30+G30-H30</f>
        <v>1491.3877480532708</v>
      </c>
      <c r="D31" s="17">
        <f>C31+(C31*0)</f>
        <v>1491.3877480532708</v>
      </c>
      <c r="E31" s="17">
        <f>C31/3250</f>
        <v>0.45888853786254485</v>
      </c>
      <c r="F31" s="37">
        <f>(D31-C31)/E31</f>
        <v>0</v>
      </c>
      <c r="G31" s="18"/>
      <c r="H31" s="18"/>
      <c r="I31" s="19">
        <f>E31*50/C31</f>
        <v>1.5384615384615385E-2</v>
      </c>
      <c r="J31" s="87">
        <f>(D31-C4)/C4</f>
        <v>-4.103565326603232E-4</v>
      </c>
    </row>
    <row r="32" spans="1:11" ht="13.5" thickBot="1">
      <c r="A32" s="105"/>
      <c r="B32" s="81">
        <f>B31+7</f>
        <v>43107</v>
      </c>
      <c r="C32" s="20">
        <f>D31+G31-H31</f>
        <v>1491.3877480532708</v>
      </c>
      <c r="D32" s="17">
        <f>C32+(C32*-0.0579)</f>
        <v>1405.0363974409863</v>
      </c>
      <c r="E32" s="17">
        <f>C32/3250</f>
        <v>0.45888853786254485</v>
      </c>
      <c r="F32" s="37">
        <f>(D32-C32)/E32</f>
        <v>-188.17500000000021</v>
      </c>
      <c r="G32" s="18"/>
      <c r="H32" s="80">
        <f>(D32-C19)*0.35</f>
        <v>27.848671988187604</v>
      </c>
      <c r="I32" s="19">
        <f>E32*50/C32</f>
        <v>1.5384615384615385E-2</v>
      </c>
      <c r="J32" s="90">
        <f>(D32-C4)/C4</f>
        <v>-5.8286596889419354E-2</v>
      </c>
      <c r="K32" s="102" t="s">
        <v>49</v>
      </c>
    </row>
    <row r="33" spans="1:11" ht="13" thickBot="1">
      <c r="A33" s="78"/>
      <c r="B33" s="13"/>
      <c r="C33" s="22"/>
      <c r="D33" s="23"/>
      <c r="E33" s="23"/>
      <c r="F33" s="27"/>
      <c r="G33" s="23"/>
      <c r="H33" s="10"/>
      <c r="I33" s="24"/>
      <c r="J33" s="86"/>
    </row>
    <row r="34" spans="1:11">
      <c r="A34" s="103">
        <v>7</v>
      </c>
      <c r="B34" s="81">
        <f>B32+7</f>
        <v>43114</v>
      </c>
      <c r="C34" s="20">
        <f>D32+G32-H32</f>
        <v>1377.1877254527988</v>
      </c>
      <c r="D34" s="99">
        <f>C34+(C34*-0.1565)</f>
        <v>1161.6578464194358</v>
      </c>
      <c r="E34" s="17">
        <f>C34/3250</f>
        <v>0.42375006937009191</v>
      </c>
      <c r="F34" s="95">
        <f>(D34-C34)/E34</f>
        <v>-508.62499999999983</v>
      </c>
      <c r="G34" s="18"/>
      <c r="H34" s="18"/>
      <c r="I34" s="19">
        <f>E34*50/C34</f>
        <v>1.5384615384615384E-2</v>
      </c>
      <c r="J34" s="90">
        <f>(D34-C4)/C4</f>
        <v>-0.22140895012102157</v>
      </c>
    </row>
    <row r="35" spans="1:11">
      <c r="A35" s="104"/>
      <c r="B35" s="81">
        <f>B34+7</f>
        <v>43121</v>
      </c>
      <c r="C35" s="20">
        <f>D34+G34-H34</f>
        <v>1161.6578464194358</v>
      </c>
      <c r="D35" s="99">
        <f>C35+(C35*-0.2248)</f>
        <v>900.51716254434666</v>
      </c>
      <c r="E35" s="17">
        <f>C35/3250</f>
        <v>0.35743318351367254</v>
      </c>
      <c r="F35" s="95">
        <f>(D35-C35)/E35</f>
        <v>-730.6</v>
      </c>
      <c r="G35" s="18"/>
      <c r="H35" s="18"/>
      <c r="I35" s="19">
        <f>E35*50/C35</f>
        <v>1.5384615384615382E-2</v>
      </c>
      <c r="J35" s="93">
        <f>(D35-C4)/C4</f>
        <v>-0.39643621813381591</v>
      </c>
    </row>
    <row r="36" spans="1:11" ht="14.5">
      <c r="A36" s="104"/>
      <c r="B36" s="81">
        <f>B35+7</f>
        <v>43128</v>
      </c>
      <c r="C36" s="32">
        <f>D35+G35-H35</f>
        <v>900.51716254434666</v>
      </c>
      <c r="D36" s="17">
        <f>C36+(C36*0.03)</f>
        <v>927.53267742067703</v>
      </c>
      <c r="E36" s="17">
        <f>C36/3250</f>
        <v>0.27708220385979898</v>
      </c>
      <c r="F36" s="28">
        <f>(D36-C36)/E36</f>
        <v>97.499999999999901</v>
      </c>
      <c r="G36" s="18"/>
      <c r="H36" s="18"/>
      <c r="I36" s="19">
        <f>E36*50/C36</f>
        <v>1.5384615384615385E-2</v>
      </c>
      <c r="J36" s="85"/>
    </row>
    <row r="37" spans="1:11" ht="13" thickBot="1">
      <c r="A37" s="105"/>
      <c r="B37" s="81">
        <f>B36+7</f>
        <v>43135</v>
      </c>
      <c r="C37" s="20">
        <f>D36+G36-H36</f>
        <v>927.53267742067703</v>
      </c>
      <c r="D37" s="17">
        <f>C37+(C37*0.03)</f>
        <v>955.35865774329739</v>
      </c>
      <c r="E37" s="17">
        <f>C37/3250</f>
        <v>0.28539466997559293</v>
      </c>
      <c r="F37" s="28">
        <f>(D37-C37)/E37</f>
        <v>97.500000000000142</v>
      </c>
      <c r="G37" s="18"/>
      <c r="H37" s="18"/>
      <c r="I37" s="19">
        <f>E37*50/C37</f>
        <v>1.5384615384615385E-2</v>
      </c>
      <c r="J37" s="85"/>
    </row>
    <row r="38" spans="1:11" ht="13" thickBot="1">
      <c r="A38" s="78"/>
      <c r="B38" s="13"/>
      <c r="C38" s="22"/>
      <c r="D38" s="23"/>
      <c r="E38" s="23"/>
      <c r="F38" s="27"/>
      <c r="G38" s="23"/>
      <c r="H38" s="10"/>
      <c r="I38" s="24"/>
      <c r="J38" s="86"/>
    </row>
    <row r="39" spans="1:11">
      <c r="A39" s="103">
        <v>8</v>
      </c>
      <c r="B39" s="81">
        <f>B37+7</f>
        <v>43142</v>
      </c>
      <c r="C39" s="20">
        <f>D37+G37-H37</f>
        <v>955.35865774329739</v>
      </c>
      <c r="D39" s="17">
        <f>C39+(C39*0.03)</f>
        <v>984.01941747559636</v>
      </c>
      <c r="E39" s="17">
        <f>C39/3250</f>
        <v>0.29395651007486073</v>
      </c>
      <c r="F39" s="28">
        <f>(D39-C39)/E39</f>
        <v>97.500000000000171</v>
      </c>
      <c r="G39" s="18"/>
      <c r="H39" s="18"/>
      <c r="I39" s="19">
        <f>E39*50/C39</f>
        <v>1.5384615384615384E-2</v>
      </c>
      <c r="J39" s="85"/>
    </row>
    <row r="40" spans="1:11">
      <c r="A40" s="104"/>
      <c r="B40" s="81">
        <f>B39+7</f>
        <v>43149</v>
      </c>
      <c r="C40" s="20">
        <f>D39+G39-H39</f>
        <v>984.01941747559636</v>
      </c>
      <c r="D40" s="17">
        <f>C40+(C40*0.03)</f>
        <v>1013.5399999998642</v>
      </c>
      <c r="E40" s="17">
        <f>C40/3250</f>
        <v>0.30277520537710656</v>
      </c>
      <c r="F40" s="28">
        <f>(D40-C40)/E40</f>
        <v>97.499999999999915</v>
      </c>
      <c r="G40" s="18"/>
      <c r="H40" s="18"/>
      <c r="I40" s="19">
        <f>E40*50/C40</f>
        <v>1.5384615384615385E-2</v>
      </c>
      <c r="J40" s="85"/>
    </row>
    <row r="41" spans="1:11">
      <c r="A41" s="104"/>
      <c r="B41" s="81">
        <f>B40+7</f>
        <v>43156</v>
      </c>
      <c r="C41" s="20">
        <f>D40+G40-H40</f>
        <v>1013.5399999998642</v>
      </c>
      <c r="D41" s="17">
        <f>C41+(C41*0.03)</f>
        <v>1043.9461999998603</v>
      </c>
      <c r="E41" s="17">
        <f>C41/3250</f>
        <v>0.31185846153841978</v>
      </c>
      <c r="F41" s="28">
        <f>(D41-C41)/E41</f>
        <v>97.500000000000341</v>
      </c>
      <c r="G41" s="18"/>
      <c r="H41" s="18"/>
      <c r="I41" s="19">
        <f>E41*50/C41</f>
        <v>1.5384615384615385E-2</v>
      </c>
      <c r="J41" s="85"/>
    </row>
    <row r="42" spans="1:11" ht="13" thickBot="1">
      <c r="A42" s="105"/>
      <c r="B42" s="81">
        <f>B41+7</f>
        <v>43163</v>
      </c>
      <c r="C42" s="20">
        <f>D41+G41-H41</f>
        <v>1043.9461999998603</v>
      </c>
      <c r="D42" s="17">
        <f>C42+(C42*0.03)</f>
        <v>1075.2645859998561</v>
      </c>
      <c r="E42" s="17">
        <f>C42/3250</f>
        <v>0.3212142153845724</v>
      </c>
      <c r="F42" s="28">
        <f>(D42-C42)/E42</f>
        <v>97.500000000000057</v>
      </c>
      <c r="G42" s="18"/>
      <c r="H42" s="18"/>
      <c r="I42" s="19">
        <f>E42*50/C42</f>
        <v>1.5384615384615385E-2</v>
      </c>
      <c r="J42" s="85"/>
    </row>
    <row r="43" spans="1:11" ht="13" thickBot="1">
      <c r="A43" s="78"/>
      <c r="B43" s="13"/>
      <c r="C43" s="22"/>
      <c r="D43" s="23"/>
      <c r="E43" s="23"/>
      <c r="F43" s="27"/>
      <c r="G43" s="23"/>
      <c r="H43" s="10"/>
      <c r="I43" s="24"/>
      <c r="J43" s="86"/>
    </row>
    <row r="44" spans="1:11">
      <c r="A44" s="103">
        <v>9</v>
      </c>
      <c r="B44" s="81">
        <f>B42+7</f>
        <v>43170</v>
      </c>
      <c r="C44" s="20">
        <f>D42+G42-H42</f>
        <v>1075.2645859998561</v>
      </c>
      <c r="D44" s="17">
        <f>C44+(C44*0.03)</f>
        <v>1107.5225235798518</v>
      </c>
      <c r="E44" s="17">
        <f>C44/3250</f>
        <v>0.33085064184610957</v>
      </c>
      <c r="F44" s="28">
        <f>(D44-C44)/E44</f>
        <v>97.500000000000256</v>
      </c>
      <c r="G44" s="18"/>
      <c r="H44" s="18"/>
      <c r="I44" s="19">
        <f>E44*50/C44</f>
        <v>1.5384615384615385E-2</v>
      </c>
      <c r="J44" s="85"/>
    </row>
    <row r="45" spans="1:11">
      <c r="A45" s="104"/>
      <c r="B45" s="81">
        <f>B44+7</f>
        <v>43177</v>
      </c>
      <c r="C45" s="20">
        <f>D44+G44-H44</f>
        <v>1107.5225235798518</v>
      </c>
      <c r="D45" s="17">
        <f>C45+(C45*0.03)</f>
        <v>1140.7481992872474</v>
      </c>
      <c r="E45" s="17">
        <f>C45/3250</f>
        <v>0.34077616110149289</v>
      </c>
      <c r="F45" s="28">
        <f>(D45-C45)/E45</f>
        <v>97.500000000000028</v>
      </c>
      <c r="G45" s="18"/>
      <c r="H45" s="18"/>
      <c r="I45" s="19">
        <f>E45*50/C45</f>
        <v>1.5384615384615384E-2</v>
      </c>
      <c r="J45" s="85"/>
    </row>
    <row r="46" spans="1:11">
      <c r="A46" s="104"/>
      <c r="B46" s="81">
        <f>B45+7</f>
        <v>43184</v>
      </c>
      <c r="C46" s="20">
        <f>D45+G45-H45</f>
        <v>1140.7481992872474</v>
      </c>
      <c r="D46" s="17">
        <f>C46+(C46*0.03)</f>
        <v>1174.9706452658647</v>
      </c>
      <c r="E46" s="17">
        <f>C46/3250</f>
        <v>0.35099944593453769</v>
      </c>
      <c r="F46" s="28">
        <f>(D46-C46)/E46</f>
        <v>97.499999999999687</v>
      </c>
      <c r="G46" s="18"/>
      <c r="H46" s="18"/>
      <c r="I46" s="19">
        <f>E46*50/C46</f>
        <v>1.5384615384615385E-2</v>
      </c>
      <c r="J46" s="85"/>
    </row>
    <row r="47" spans="1:11" ht="13.5" thickBot="1">
      <c r="A47" s="105"/>
      <c r="B47" s="81">
        <f>B46+7</f>
        <v>43191</v>
      </c>
      <c r="C47" s="20">
        <f>D46+G46-H46</f>
        <v>1174.9706452658647</v>
      </c>
      <c r="D47" s="17">
        <f>C47+(C47*0.03)</f>
        <v>1210.2197646238408</v>
      </c>
      <c r="E47" s="17">
        <f>C47/3250</f>
        <v>0.36152942931257376</v>
      </c>
      <c r="F47" s="28">
        <f>(D47-C47)/E47</f>
        <v>97.500000000000284</v>
      </c>
      <c r="G47" s="18"/>
      <c r="H47" s="80">
        <f>(D47-C34)*0.35</f>
        <v>-58.43878629013529</v>
      </c>
      <c r="I47" s="19">
        <f>E47*50/C47</f>
        <v>1.5384615384615385E-2</v>
      </c>
      <c r="J47" s="85"/>
      <c r="K47" s="102" t="s">
        <v>49</v>
      </c>
    </row>
    <row r="48" spans="1:11" ht="13" thickBot="1">
      <c r="A48" s="78"/>
      <c r="B48" s="13"/>
      <c r="C48" s="22"/>
      <c r="D48" s="23"/>
      <c r="E48" s="23"/>
      <c r="F48" s="27"/>
      <c r="G48" s="23"/>
      <c r="H48" s="10"/>
      <c r="I48" s="24"/>
      <c r="J48" s="86"/>
    </row>
    <row r="49" spans="1:11">
      <c r="A49" s="103">
        <v>10</v>
      </c>
      <c r="B49" s="81">
        <f>B47+7</f>
        <v>43198</v>
      </c>
      <c r="C49" s="20">
        <f>D47+G47-H47</f>
        <v>1268.6585509139761</v>
      </c>
      <c r="D49" s="17">
        <f>C49+(C49*0.03)</f>
        <v>1306.7183074413954</v>
      </c>
      <c r="E49" s="17">
        <f>C49/3250</f>
        <v>0.39035647720430033</v>
      </c>
      <c r="F49" s="28">
        <f>(D49-C49)/E49</f>
        <v>97.499999999999957</v>
      </c>
      <c r="G49" s="18"/>
      <c r="H49" s="18"/>
      <c r="I49" s="19">
        <f>E49*50/C49</f>
        <v>1.5384615384615385E-2</v>
      </c>
      <c r="J49" s="85"/>
    </row>
    <row r="50" spans="1:11">
      <c r="A50" s="104"/>
      <c r="B50" s="81">
        <f>B49+7</f>
        <v>43205</v>
      </c>
      <c r="C50" s="20">
        <f>D49+G49-H49</f>
        <v>1306.7183074413954</v>
      </c>
      <c r="D50" s="17">
        <f>C50+(C50*0.03)</f>
        <v>1345.9198566646373</v>
      </c>
      <c r="E50" s="17">
        <f>C50/3250</f>
        <v>0.40206717152042937</v>
      </c>
      <c r="F50" s="28">
        <f>(D50-C50)/E50</f>
        <v>97.500000000000227</v>
      </c>
      <c r="G50" s="18"/>
      <c r="H50" s="18"/>
      <c r="I50" s="19">
        <f>E50*50/C50</f>
        <v>1.5384615384615384E-2</v>
      </c>
      <c r="J50" s="85"/>
    </row>
    <row r="51" spans="1:11">
      <c r="A51" s="104"/>
      <c r="B51" s="81">
        <f>B50+7</f>
        <v>43212</v>
      </c>
      <c r="C51" s="20">
        <f>D50+G50-H50</f>
        <v>1345.9198566646373</v>
      </c>
      <c r="D51" s="17">
        <f>C51+(C51*0.03)</f>
        <v>1386.2974523645764</v>
      </c>
      <c r="E51" s="17">
        <f>C51/3250</f>
        <v>0.41412918666604226</v>
      </c>
      <c r="F51" s="28">
        <f>(D51-C51)/E51</f>
        <v>97.499999999999929</v>
      </c>
      <c r="G51" s="18"/>
      <c r="H51" s="18"/>
      <c r="I51" s="19">
        <f>E51*50/C51</f>
        <v>1.5384615384615385E-2</v>
      </c>
      <c r="J51" s="85"/>
    </row>
    <row r="52" spans="1:11" ht="13" thickBot="1">
      <c r="A52" s="105"/>
      <c r="B52" s="81">
        <f>B51+7</f>
        <v>43219</v>
      </c>
      <c r="C52" s="20">
        <f>D51+G51-H51</f>
        <v>1386.2974523645764</v>
      </c>
      <c r="D52" s="17">
        <f>C52+(C52*0.03)</f>
        <v>1427.8863759355138</v>
      </c>
      <c r="E52" s="17">
        <f>C52/3250</f>
        <v>0.42655306226602352</v>
      </c>
      <c r="F52" s="28">
        <f>(D52-C52)/E52</f>
        <v>97.500000000000171</v>
      </c>
      <c r="G52" s="18"/>
      <c r="H52" s="80"/>
      <c r="I52" s="19">
        <f>E52*50/C52</f>
        <v>1.5384615384615384E-2</v>
      </c>
      <c r="J52" s="85"/>
    </row>
    <row r="53" spans="1:11" ht="13" thickBot="1">
      <c r="A53" s="78"/>
      <c r="B53" s="13"/>
      <c r="C53" s="22"/>
      <c r="D53" s="23"/>
      <c r="E53" s="23"/>
      <c r="F53" s="27"/>
      <c r="G53" s="23"/>
      <c r="H53" s="10"/>
      <c r="I53" s="24"/>
      <c r="J53" s="86"/>
    </row>
    <row r="54" spans="1:11">
      <c r="A54" s="103">
        <v>11</v>
      </c>
      <c r="B54" s="81">
        <f>B52+7</f>
        <v>43226</v>
      </c>
      <c r="C54" s="20">
        <f>D52+G52-H52</f>
        <v>1427.8863759355138</v>
      </c>
      <c r="D54" s="17">
        <f>C54+(C54*0.03)</f>
        <v>1470.7229672135793</v>
      </c>
      <c r="E54" s="17">
        <f>C54/3250</f>
        <v>0.43934965413400423</v>
      </c>
      <c r="F54" s="28">
        <f>(D54-C54)/E54</f>
        <v>97.500000000000199</v>
      </c>
      <c r="G54" s="18"/>
      <c r="H54" s="18"/>
      <c r="I54" s="19">
        <f>E54*50/C54</f>
        <v>1.5384615384615384E-2</v>
      </c>
      <c r="J54" s="85"/>
    </row>
    <row r="55" spans="1:11">
      <c r="A55" s="104"/>
      <c r="B55" s="81">
        <f>B54+7</f>
        <v>43233</v>
      </c>
      <c r="C55" s="20">
        <f>D54+G54-H54</f>
        <v>1470.7229672135793</v>
      </c>
      <c r="D55" s="17">
        <f>C55+(C55*0.03)</f>
        <v>1514.8446562299866</v>
      </c>
      <c r="E55" s="17">
        <f>C55/3250</f>
        <v>0.45253014375802442</v>
      </c>
      <c r="F55" s="28">
        <f>(D55-C55)/E55</f>
        <v>97.499999999999915</v>
      </c>
      <c r="G55" s="18"/>
      <c r="H55" s="18"/>
      <c r="I55" s="19">
        <f>E55*50/C55</f>
        <v>1.5384615384615385E-2</v>
      </c>
      <c r="J55" s="85"/>
    </row>
    <row r="56" spans="1:11">
      <c r="A56" s="104"/>
      <c r="B56" s="81">
        <f>B55+7</f>
        <v>43240</v>
      </c>
      <c r="C56" s="20">
        <f>D55+G55-H55</f>
        <v>1514.8446562299866</v>
      </c>
      <c r="D56" s="17">
        <f>C56+(C56*0.03)</f>
        <v>1560.2899959168863</v>
      </c>
      <c r="E56" s="17">
        <f>C56/3250</f>
        <v>0.46610604807076511</v>
      </c>
      <c r="F56" s="28">
        <f>(D56-C56)/E56</f>
        <v>97.500000000000043</v>
      </c>
      <c r="G56" s="18"/>
      <c r="H56" s="18"/>
      <c r="I56" s="19">
        <f>E56*50/C56</f>
        <v>1.5384615384615385E-2</v>
      </c>
      <c r="J56" s="85"/>
    </row>
    <row r="57" spans="1:11" ht="13" thickBot="1">
      <c r="A57" s="105"/>
      <c r="B57" s="81">
        <f>B56+7</f>
        <v>43247</v>
      </c>
      <c r="C57" s="20">
        <f>D56+G56-H56</f>
        <v>1560.2899959168863</v>
      </c>
      <c r="D57" s="17">
        <f>C57+(C57*0.03)</f>
        <v>1607.0986957943928</v>
      </c>
      <c r="E57" s="17">
        <f>C57/3250</f>
        <v>0.48008922951288807</v>
      </c>
      <c r="F57" s="28">
        <f>(D57-C57)/E57</f>
        <v>97.499999999999957</v>
      </c>
      <c r="G57" s="18"/>
      <c r="H57" s="80"/>
      <c r="I57" s="19">
        <f>E57*50/C57</f>
        <v>1.5384615384615385E-2</v>
      </c>
      <c r="J57" s="85"/>
    </row>
    <row r="58" spans="1:11" ht="13" thickBot="1">
      <c r="A58" s="78"/>
      <c r="B58" s="13"/>
      <c r="C58" s="22"/>
      <c r="D58" s="23"/>
      <c r="E58" s="23"/>
      <c r="F58" s="27"/>
      <c r="G58" s="23"/>
      <c r="H58" s="10"/>
      <c r="I58" s="24"/>
      <c r="J58" s="86"/>
    </row>
    <row r="59" spans="1:11">
      <c r="A59" s="103">
        <v>12</v>
      </c>
      <c r="B59" s="81">
        <f>B57+7</f>
        <v>43254</v>
      </c>
      <c r="C59" s="20">
        <f>D57+G57-H57</f>
        <v>1607.0986957943928</v>
      </c>
      <c r="D59" s="17">
        <f>C59+(C59*0.03)</f>
        <v>1655.3116566682247</v>
      </c>
      <c r="E59" s="17">
        <f>C59/3250</f>
        <v>0.49449190639827473</v>
      </c>
      <c r="F59" s="28">
        <f>(D59-C59)/E59</f>
        <v>97.500000000000213</v>
      </c>
      <c r="G59" s="18"/>
      <c r="H59" s="18"/>
      <c r="I59" s="19">
        <f>E59*50/C59</f>
        <v>1.5384615384615384E-2</v>
      </c>
      <c r="J59" s="85"/>
    </row>
    <row r="60" spans="1:11">
      <c r="A60" s="104"/>
      <c r="B60" s="81">
        <f>B59+7</f>
        <v>43261</v>
      </c>
      <c r="C60" s="20">
        <f>D59+G59-H59</f>
        <v>1655.3116566682247</v>
      </c>
      <c r="D60" s="17">
        <f>C60+(C60*0.03)</f>
        <v>1704.9710063682714</v>
      </c>
      <c r="E60" s="17">
        <f>C60/3250</f>
        <v>0.50932666359022294</v>
      </c>
      <c r="F60" s="28">
        <f>(D60-C60)/E60</f>
        <v>97.499999999999986</v>
      </c>
      <c r="G60" s="18"/>
      <c r="H60" s="18"/>
      <c r="I60" s="19">
        <f>E60*50/C60</f>
        <v>1.5384615384615382E-2</v>
      </c>
      <c r="J60" s="85"/>
    </row>
    <row r="61" spans="1:11">
      <c r="A61" s="104"/>
      <c r="B61" s="81">
        <f>B60+7</f>
        <v>43268</v>
      </c>
      <c r="C61" s="20">
        <f>D60+G60-H60</f>
        <v>1704.9710063682714</v>
      </c>
      <c r="D61" s="17">
        <f>C61+(C61*0.03)</f>
        <v>1756.1201365593197</v>
      </c>
      <c r="E61" s="17">
        <f>C61/3250</f>
        <v>0.52460646349792972</v>
      </c>
      <c r="F61" s="28">
        <f>(D61-C61)/E61</f>
        <v>97.500000000000185</v>
      </c>
      <c r="G61" s="18"/>
      <c r="H61" s="18"/>
      <c r="I61" s="19">
        <f>E61*50/C61</f>
        <v>1.5384615384615387E-2</v>
      </c>
      <c r="J61" s="85"/>
    </row>
    <row r="62" spans="1:11" ht="13.5" thickBot="1">
      <c r="A62" s="105"/>
      <c r="B62" s="81">
        <f>B61+7</f>
        <v>43275</v>
      </c>
      <c r="C62" s="20">
        <f>D61+G61-H61</f>
        <v>1756.1201365593197</v>
      </c>
      <c r="D62" s="17">
        <f>C62+(C62*0.03)</f>
        <v>1808.8037406560993</v>
      </c>
      <c r="E62" s="17">
        <f>C62/3250</f>
        <v>0.54034465740286763</v>
      </c>
      <c r="F62" s="28">
        <f>(D62-C62)/E62</f>
        <v>97.500000000000043</v>
      </c>
      <c r="G62" s="18"/>
      <c r="H62" s="80">
        <f>(D62-C49)*0.35</f>
        <v>189.05081640974311</v>
      </c>
      <c r="I62" s="19">
        <f>E62*50/C62</f>
        <v>1.5384615384615385E-2</v>
      </c>
      <c r="J62" s="85"/>
      <c r="K62" s="102" t="s">
        <v>49</v>
      </c>
    </row>
    <row r="63" spans="1:11" ht="13" thickBot="1">
      <c r="A63" s="78"/>
      <c r="B63" s="13"/>
      <c r="C63" s="22"/>
      <c r="D63" s="23"/>
      <c r="E63" s="23"/>
      <c r="F63" s="27"/>
      <c r="G63" s="23"/>
      <c r="H63" s="10"/>
      <c r="I63" s="24"/>
      <c r="J63" s="86"/>
    </row>
    <row r="64" spans="1:11">
      <c r="A64" s="103">
        <v>13</v>
      </c>
      <c r="B64" s="81">
        <f>B62+7</f>
        <v>43282</v>
      </c>
      <c r="C64" s="20">
        <f>D62+G62-H62</f>
        <v>1619.7529242463561</v>
      </c>
      <c r="D64" s="17">
        <f>C64+(C64*0.03)</f>
        <v>1668.3455119737469</v>
      </c>
      <c r="E64" s="17">
        <f>C64/3250</f>
        <v>0.49838551515272494</v>
      </c>
      <c r="F64" s="28">
        <f>(D64-C64)/E64</f>
        <v>97.500000000000171</v>
      </c>
      <c r="G64" s="17"/>
      <c r="H64" s="79"/>
      <c r="I64" s="19">
        <f>E64*50/C64</f>
        <v>1.5384615384615384E-2</v>
      </c>
      <c r="J64" s="85"/>
    </row>
    <row r="65" spans="1:11">
      <c r="A65" s="104"/>
      <c r="B65" s="81">
        <f>B64+7</f>
        <v>43289</v>
      </c>
      <c r="C65" s="20">
        <f>D64+G64-H64</f>
        <v>1668.3455119737469</v>
      </c>
      <c r="D65" s="17">
        <f>C65+(C65*0.03)</f>
        <v>1718.3958773329593</v>
      </c>
      <c r="E65" s="17">
        <f>C65/3250</f>
        <v>0.51333708060730676</v>
      </c>
      <c r="F65" s="28">
        <f>(D65-C65)/E65</f>
        <v>97.500000000000156</v>
      </c>
      <c r="G65" s="17"/>
      <c r="H65" s="79"/>
      <c r="I65" s="19">
        <f>E65*50/C65</f>
        <v>1.5384615384615387E-2</v>
      </c>
      <c r="J65" s="85"/>
    </row>
    <row r="66" spans="1:11">
      <c r="A66" s="104"/>
      <c r="B66" s="81">
        <f>B65+7</f>
        <v>43296</v>
      </c>
      <c r="C66" s="20">
        <f>D65+G65-H65</f>
        <v>1718.3958773329593</v>
      </c>
      <c r="D66" s="17">
        <f>C66+(C66*0.03)</f>
        <v>1769.9477536529482</v>
      </c>
      <c r="E66" s="17">
        <f>C66/3250</f>
        <v>0.52873719302552591</v>
      </c>
      <c r="F66" s="28">
        <f>(D66-C66)/E66</f>
        <v>97.500000000000199</v>
      </c>
      <c r="G66" s="17"/>
      <c r="H66" s="79"/>
      <c r="I66" s="19">
        <f>E66*50/C66</f>
        <v>1.5384615384615384E-2</v>
      </c>
      <c r="J66" s="85"/>
    </row>
    <row r="67" spans="1:11" ht="13" thickBot="1">
      <c r="A67" s="105"/>
      <c r="B67" s="81">
        <f>B66+7</f>
        <v>43303</v>
      </c>
      <c r="C67" s="20">
        <f>D66+G66-H66</f>
        <v>1769.9477536529482</v>
      </c>
      <c r="D67" s="17">
        <f>C67+(C67*0.03)</f>
        <v>1823.0461862625366</v>
      </c>
      <c r="E67" s="17">
        <f>C67/3250</f>
        <v>0.54459930881629182</v>
      </c>
      <c r="F67" s="28">
        <f>(D67-C67)/E67</f>
        <v>97.499999999999858</v>
      </c>
      <c r="G67" s="18"/>
      <c r="H67" s="80"/>
      <c r="I67" s="19">
        <f>E67*50/C67</f>
        <v>1.5384615384615387E-2</v>
      </c>
      <c r="J67" s="85"/>
    </row>
    <row r="68" spans="1:11" ht="13" thickBot="1">
      <c r="A68" s="78"/>
      <c r="B68" s="13"/>
      <c r="C68" s="22"/>
      <c r="D68" s="23"/>
      <c r="E68" s="23"/>
      <c r="F68" s="27"/>
      <c r="G68" s="23"/>
      <c r="H68" s="10"/>
      <c r="I68" s="24"/>
      <c r="J68" s="86"/>
    </row>
    <row r="69" spans="1:11">
      <c r="A69" s="103">
        <v>14</v>
      </c>
      <c r="B69" s="81">
        <f>B67+7</f>
        <v>43310</v>
      </c>
      <c r="C69" s="20">
        <f>D67+G67-H67</f>
        <v>1823.0461862625366</v>
      </c>
      <c r="D69" s="17">
        <f>C69+(C69*0.03)</f>
        <v>1877.7375718504127</v>
      </c>
      <c r="E69" s="17">
        <f>C69/3250</f>
        <v>0.56093728808078047</v>
      </c>
      <c r="F69" s="28">
        <f>(D69-C69)/E69</f>
        <v>97.499999999999986</v>
      </c>
      <c r="G69" s="18"/>
      <c r="H69" s="18"/>
      <c r="I69" s="19">
        <f>E69*50/C69</f>
        <v>1.5384615384615384E-2</v>
      </c>
      <c r="J69" s="85"/>
    </row>
    <row r="70" spans="1:11">
      <c r="A70" s="104"/>
      <c r="B70" s="81">
        <f>B69+7</f>
        <v>43317</v>
      </c>
      <c r="C70" s="20">
        <f>D69+G69-H69</f>
        <v>1877.7375718504127</v>
      </c>
      <c r="D70" s="17">
        <f>C70+(C70*0.03)</f>
        <v>1934.069699005925</v>
      </c>
      <c r="E70" s="17">
        <f>C70/3250</f>
        <v>0.57776540672320387</v>
      </c>
      <c r="F70" s="28">
        <f>(D70-C70)/E70</f>
        <v>97.499999999999957</v>
      </c>
      <c r="G70" s="18"/>
      <c r="H70" s="18"/>
      <c r="I70" s="19">
        <f>E70*50/C70</f>
        <v>1.5384615384615384E-2</v>
      </c>
      <c r="J70" s="85"/>
    </row>
    <row r="71" spans="1:11">
      <c r="A71" s="104"/>
      <c r="B71" s="81">
        <f>B70+7</f>
        <v>43324</v>
      </c>
      <c r="C71" s="20">
        <f>D70+G70-H70</f>
        <v>1934.069699005925</v>
      </c>
      <c r="D71" s="17">
        <f>C71+(C71*0.03)</f>
        <v>1992.0917899761027</v>
      </c>
      <c r="E71" s="17">
        <f>C71/3250</f>
        <v>0.59509836892489998</v>
      </c>
      <c r="F71" s="28">
        <f>(D71-C71)/E71</f>
        <v>97.499999999999943</v>
      </c>
      <c r="G71" s="18"/>
      <c r="H71" s="18"/>
      <c r="I71" s="19">
        <f>E71*50/C71</f>
        <v>1.5384615384615384E-2</v>
      </c>
      <c r="J71" s="85"/>
    </row>
    <row r="72" spans="1:11" ht="13" thickBot="1">
      <c r="A72" s="105"/>
      <c r="B72" s="81">
        <f>B71+7</f>
        <v>43331</v>
      </c>
      <c r="C72" s="20">
        <f>D71+G71-H71</f>
        <v>1992.0917899761027</v>
      </c>
      <c r="D72" s="17">
        <f>C72+(C72*0.03)</f>
        <v>2051.8545436753857</v>
      </c>
      <c r="E72" s="17">
        <f>C72/3250</f>
        <v>0.61295131999264696</v>
      </c>
      <c r="F72" s="28">
        <f>(D72-C72)/E72</f>
        <v>97.499999999999773</v>
      </c>
      <c r="G72" s="18"/>
      <c r="H72" s="80"/>
      <c r="I72" s="19">
        <f>E72*50/C72</f>
        <v>1.5384615384615384E-2</v>
      </c>
      <c r="J72" s="85"/>
    </row>
    <row r="73" spans="1:11" ht="13" thickBot="1">
      <c r="A73" s="78"/>
      <c r="B73" s="13"/>
      <c r="C73" s="22"/>
      <c r="D73" s="23"/>
      <c r="E73" s="23"/>
      <c r="F73" s="27"/>
      <c r="G73" s="23"/>
      <c r="H73" s="10"/>
      <c r="I73" s="24"/>
      <c r="J73" s="86"/>
    </row>
    <row r="74" spans="1:11">
      <c r="A74" s="103">
        <v>15</v>
      </c>
      <c r="B74" s="81">
        <f>B72+7</f>
        <v>43338</v>
      </c>
      <c r="C74" s="20">
        <f>D72+G72-H72</f>
        <v>2051.8545436753857</v>
      </c>
      <c r="D74" s="17">
        <f>C74+(C74*0.03)</f>
        <v>2113.4101799856471</v>
      </c>
      <c r="E74" s="17">
        <f>C74/3250</f>
        <v>0.63133985959242633</v>
      </c>
      <c r="F74" s="28">
        <f>(D74-C74)/E74</f>
        <v>97.499999999999787</v>
      </c>
      <c r="G74" s="18"/>
      <c r="H74" s="18"/>
      <c r="I74" s="19">
        <f>E74*50/C74</f>
        <v>1.5384615384615385E-2</v>
      </c>
      <c r="J74" s="85"/>
    </row>
    <row r="75" spans="1:11">
      <c r="A75" s="104"/>
      <c r="B75" s="81">
        <f>B74+7</f>
        <v>43345</v>
      </c>
      <c r="C75" s="20">
        <f>D74+G74-H74</f>
        <v>2113.4101799856471</v>
      </c>
      <c r="D75" s="17">
        <f>C75+(C75*0.03)</f>
        <v>2176.8124853852164</v>
      </c>
      <c r="E75" s="17">
        <f>C75/3250</f>
        <v>0.65028005538019906</v>
      </c>
      <c r="F75" s="28">
        <f>(D75-C75)/E75</f>
        <v>97.499999999999815</v>
      </c>
      <c r="G75" s="18"/>
      <c r="H75" s="18"/>
      <c r="I75" s="19">
        <f>E75*50/C75</f>
        <v>1.5384615384615385E-2</v>
      </c>
      <c r="J75" s="85"/>
    </row>
    <row r="76" spans="1:11">
      <c r="A76" s="104"/>
      <c r="B76" s="81">
        <f>B75+7</f>
        <v>43352</v>
      </c>
      <c r="C76" s="20">
        <f>D75+G75-H75</f>
        <v>2176.8124853852164</v>
      </c>
      <c r="D76" s="17">
        <f>C76+(C76*0.03)</f>
        <v>2242.1168599467728</v>
      </c>
      <c r="E76" s="17">
        <f>C76/3250</f>
        <v>0.66978845704160506</v>
      </c>
      <c r="F76" s="28">
        <f>(D76-C76)/E76</f>
        <v>97.499999999999886</v>
      </c>
      <c r="G76" s="18"/>
      <c r="H76" s="18"/>
      <c r="I76" s="19">
        <f>E76*50/C76</f>
        <v>1.5384615384615385E-2</v>
      </c>
      <c r="J76" s="85"/>
    </row>
    <row r="77" spans="1:11" ht="13.5" thickBot="1">
      <c r="A77" s="105"/>
      <c r="B77" s="81">
        <f>B76+7</f>
        <v>43359</v>
      </c>
      <c r="C77" s="20">
        <f>D76+G76-H76</f>
        <v>2242.1168599467728</v>
      </c>
      <c r="D77" s="17">
        <f>C77+(C77*0.03)</f>
        <v>2309.3803657451758</v>
      </c>
      <c r="E77" s="17">
        <f>C77/3250</f>
        <v>0.68988211075285322</v>
      </c>
      <c r="F77" s="28">
        <f>(D77-C77)/E77</f>
        <v>97.49999999999973</v>
      </c>
      <c r="G77" s="18"/>
      <c r="H77" s="80">
        <f>(D77-C64)*0.35</f>
        <v>241.36960452458689</v>
      </c>
      <c r="I77" s="19">
        <f>E77*50/C77</f>
        <v>1.5384615384615385E-2</v>
      </c>
      <c r="J77" s="85"/>
      <c r="K77" s="102" t="s">
        <v>49</v>
      </c>
    </row>
    <row r="78" spans="1:11" ht="13" thickBot="1">
      <c r="A78" s="78"/>
      <c r="B78" s="13"/>
      <c r="C78" s="22"/>
      <c r="D78" s="23"/>
      <c r="E78" s="23"/>
      <c r="F78" s="27"/>
      <c r="G78" s="23"/>
      <c r="H78" s="10"/>
      <c r="I78" s="24"/>
      <c r="J78" s="86"/>
    </row>
    <row r="79" spans="1:11">
      <c r="A79" s="103">
        <v>16</v>
      </c>
      <c r="B79" s="81">
        <f>B77+7</f>
        <v>43366</v>
      </c>
      <c r="C79" s="20">
        <f>D77+G77-H77</f>
        <v>2068.0107612205888</v>
      </c>
      <c r="D79" s="17">
        <f>C79+(C79*0.03)</f>
        <v>2130.0510840572065</v>
      </c>
      <c r="E79" s="17">
        <f>C79/3250</f>
        <v>0.63631100345248892</v>
      </c>
      <c r="F79" s="28">
        <f>(D79-C79)/E79</f>
        <v>97.499999999999943</v>
      </c>
      <c r="G79" s="18"/>
      <c r="H79" s="18"/>
      <c r="I79" s="19">
        <f>E79*50/C79</f>
        <v>1.5384615384615385E-2</v>
      </c>
      <c r="J79" s="85"/>
    </row>
    <row r="80" spans="1:11">
      <c r="A80" s="104"/>
      <c r="B80" s="81">
        <f>B79+7</f>
        <v>43373</v>
      </c>
      <c r="C80" s="20">
        <f>D79+G79-H79</f>
        <v>2130.0510840572065</v>
      </c>
      <c r="D80" s="17">
        <f>C80+(C80*0.03)</f>
        <v>2193.9526165789225</v>
      </c>
      <c r="E80" s="17">
        <f>C80/3250</f>
        <v>0.65540033355606353</v>
      </c>
      <c r="F80" s="28">
        <f>(D80-C80)/E80</f>
        <v>97.499999999999758</v>
      </c>
      <c r="G80" s="18"/>
      <c r="H80" s="18"/>
      <c r="I80" s="19">
        <f>E80*50/C80</f>
        <v>1.5384615384615385E-2</v>
      </c>
      <c r="J80" s="85"/>
    </row>
    <row r="81" spans="1:11">
      <c r="A81" s="104"/>
      <c r="B81" s="81">
        <f>B80+7</f>
        <v>43380</v>
      </c>
      <c r="C81" s="20">
        <f>D80+G80-H80</f>
        <v>2193.9526165789225</v>
      </c>
      <c r="D81" s="17">
        <f>C81+(C81*0.03)</f>
        <v>2259.77119507629</v>
      </c>
      <c r="E81" s="17">
        <f>C81/3250</f>
        <v>0.67506234356274541</v>
      </c>
      <c r="F81" s="28">
        <f>(D81-C81)/E81</f>
        <v>97.499999999999773</v>
      </c>
      <c r="G81" s="18"/>
      <c r="H81" s="18"/>
      <c r="I81" s="19">
        <f>E81*50/C81</f>
        <v>1.5384615384615387E-2</v>
      </c>
      <c r="J81" s="85"/>
    </row>
    <row r="82" spans="1:11" ht="13" thickBot="1">
      <c r="A82" s="105"/>
      <c r="B82" s="81">
        <f>B81+7</f>
        <v>43387</v>
      </c>
      <c r="C82" s="20">
        <f>D81+G81-H81</f>
        <v>2259.77119507629</v>
      </c>
      <c r="D82" s="17">
        <f>C82+(C82*0.03)</f>
        <v>2327.5643309285788</v>
      </c>
      <c r="E82" s="17">
        <f>C82/3250</f>
        <v>0.69531421386962766</v>
      </c>
      <c r="F82" s="28">
        <f>(D82-C82)/E82</f>
        <v>97.500000000000071</v>
      </c>
      <c r="G82" s="18"/>
      <c r="H82" s="80"/>
      <c r="I82" s="19">
        <f>E82*50/C82</f>
        <v>1.5384615384615382E-2</v>
      </c>
      <c r="J82" s="85"/>
    </row>
    <row r="83" spans="1:11" ht="13" thickBot="1">
      <c r="A83" s="78"/>
      <c r="B83" s="13"/>
      <c r="C83" s="22"/>
      <c r="D83" s="23"/>
      <c r="E83" s="23"/>
      <c r="F83" s="27"/>
      <c r="G83" s="23"/>
      <c r="H83" s="10"/>
      <c r="I83" s="24"/>
      <c r="J83" s="86"/>
    </row>
    <row r="84" spans="1:11">
      <c r="A84" s="103">
        <v>17</v>
      </c>
      <c r="B84" s="81">
        <f>B82+7</f>
        <v>43394</v>
      </c>
      <c r="C84" s="20">
        <f>D82+G82-H82</f>
        <v>2327.5643309285788</v>
      </c>
      <c r="D84" s="17">
        <f>C84+(C84*0.03)</f>
        <v>2397.391260856436</v>
      </c>
      <c r="E84" s="17">
        <f>C84/3250</f>
        <v>0.71617364028571651</v>
      </c>
      <c r="F84" s="28">
        <f>(D84-C84)/E84</f>
        <v>97.499999999999829</v>
      </c>
      <c r="G84" s="18"/>
      <c r="H84" s="18"/>
      <c r="I84" s="19">
        <f>E84*50/C84</f>
        <v>1.5384615384615385E-2</v>
      </c>
      <c r="J84" s="85"/>
    </row>
    <row r="85" spans="1:11">
      <c r="A85" s="104"/>
      <c r="B85" s="81">
        <f>B84+7</f>
        <v>43401</v>
      </c>
      <c r="C85" s="20">
        <f>D84+G84-H84</f>
        <v>2397.391260856436</v>
      </c>
      <c r="D85" s="17">
        <f>C85+(C85*0.03)</f>
        <v>2469.3129986821291</v>
      </c>
      <c r="E85" s="17">
        <f>C85/3250</f>
        <v>0.73765884949428806</v>
      </c>
      <c r="F85" s="28">
        <f>(D85-C85)/E85</f>
        <v>97.499999999999986</v>
      </c>
      <c r="G85" s="18"/>
      <c r="H85" s="18"/>
      <c r="I85" s="19">
        <f>E85*50/C85</f>
        <v>1.5384615384615387E-2</v>
      </c>
      <c r="J85" s="85"/>
    </row>
    <row r="86" spans="1:11">
      <c r="A86" s="104"/>
      <c r="B86" s="81">
        <f>B85+7</f>
        <v>43408</v>
      </c>
      <c r="C86" s="20">
        <f>D85+G85-H85</f>
        <v>2469.3129986821291</v>
      </c>
      <c r="D86" s="17">
        <f>C86+(C86*0.03)</f>
        <v>2543.3923886425928</v>
      </c>
      <c r="E86" s="17">
        <f>C86/3250</f>
        <v>0.75978861497911665</v>
      </c>
      <c r="F86" s="28">
        <f>(D86-C86)/E86</f>
        <v>97.499999999999758</v>
      </c>
      <c r="G86" s="18"/>
      <c r="H86" s="18"/>
      <c r="I86" s="19">
        <f>E86*50/C86</f>
        <v>1.5384615384615385E-2</v>
      </c>
      <c r="J86" s="85"/>
    </row>
    <row r="87" spans="1:11" ht="13" thickBot="1">
      <c r="A87" s="105"/>
      <c r="B87" s="81">
        <f>B86+7</f>
        <v>43415</v>
      </c>
      <c r="C87" s="20">
        <f>D86+G86-H86</f>
        <v>2543.3923886425928</v>
      </c>
      <c r="D87" s="17">
        <f>C87+(C87*0.03)</f>
        <v>2619.6941603018704</v>
      </c>
      <c r="E87" s="17">
        <f>C87/3250</f>
        <v>0.78258227342849007</v>
      </c>
      <c r="F87" s="28">
        <f>(D87-C87)/E87</f>
        <v>97.499999999999787</v>
      </c>
      <c r="G87" s="18"/>
      <c r="H87" s="80"/>
      <c r="I87" s="19">
        <f>E87*50/C87</f>
        <v>1.5384615384615385E-2</v>
      </c>
      <c r="J87" s="85"/>
    </row>
    <row r="88" spans="1:11" ht="13" thickBot="1">
      <c r="A88" s="78"/>
      <c r="B88" s="13"/>
      <c r="C88" s="22"/>
      <c r="D88" s="23"/>
      <c r="E88" s="23"/>
      <c r="F88" s="27"/>
      <c r="G88" s="23"/>
      <c r="H88" s="10"/>
      <c r="I88" s="24"/>
      <c r="J88" s="86"/>
    </row>
    <row r="89" spans="1:11">
      <c r="A89" s="103">
        <v>18</v>
      </c>
      <c r="B89" s="81">
        <f>B87+7</f>
        <v>43422</v>
      </c>
      <c r="C89" s="20">
        <f>D87+G87-H87</f>
        <v>2619.6941603018704</v>
      </c>
      <c r="D89" s="17">
        <f>C89+(C89*0.03)</f>
        <v>2698.2849851109263</v>
      </c>
      <c r="E89" s="17">
        <f>C89/3250</f>
        <v>0.80605974163134475</v>
      </c>
      <c r="F89" s="28">
        <f>(D89-C89)/E89</f>
        <v>97.499999999999744</v>
      </c>
      <c r="G89" s="18"/>
      <c r="H89" s="18"/>
      <c r="I89" s="19">
        <f>E89*50/C89</f>
        <v>1.5384615384615385E-2</v>
      </c>
      <c r="J89" s="85"/>
    </row>
    <row r="90" spans="1:11">
      <c r="A90" s="104"/>
      <c r="B90" s="81">
        <f>B89+7</f>
        <v>43429</v>
      </c>
      <c r="C90" s="20">
        <f>D89+G89-H89</f>
        <v>2698.2849851109263</v>
      </c>
      <c r="D90" s="17">
        <f>C90+(C90*0.03)</f>
        <v>2779.233534664254</v>
      </c>
      <c r="E90" s="17">
        <f>C90/3250</f>
        <v>0.83024153388028499</v>
      </c>
      <c r="F90" s="28">
        <f>(D90-C90)/E90</f>
        <v>97.499999999999858</v>
      </c>
      <c r="G90" s="18"/>
      <c r="H90" s="18"/>
      <c r="I90" s="19">
        <f>E90*50/C90</f>
        <v>1.5384615384615384E-2</v>
      </c>
      <c r="J90" s="85"/>
    </row>
    <row r="91" spans="1:11">
      <c r="A91" s="104"/>
      <c r="B91" s="81">
        <f>B90+7</f>
        <v>43436</v>
      </c>
      <c r="C91" s="20">
        <f>D90+G90-H90</f>
        <v>2779.233534664254</v>
      </c>
      <c r="D91" s="17">
        <f>C91+(C91*0.03)</f>
        <v>2862.6105407041814</v>
      </c>
      <c r="E91" s="17">
        <f>C91/3250</f>
        <v>0.85514877989669358</v>
      </c>
      <c r="F91" s="28">
        <f>(D91-C91)/E91</f>
        <v>97.499999999999787</v>
      </c>
      <c r="G91" s="18"/>
      <c r="H91" s="18"/>
      <c r="I91" s="19">
        <f>E91*50/C91</f>
        <v>1.5384615384615385E-2</v>
      </c>
      <c r="J91" s="85"/>
    </row>
    <row r="92" spans="1:11" ht="13.5" thickBot="1">
      <c r="A92" s="105"/>
      <c r="B92" s="81">
        <f>B91+7</f>
        <v>43443</v>
      </c>
      <c r="C92" s="20">
        <f>D91+G91-H91</f>
        <v>2862.6105407041814</v>
      </c>
      <c r="D92" s="17">
        <f>C92+(C92*0.03)</f>
        <v>2948.4888569253067</v>
      </c>
      <c r="E92" s="17">
        <f>C92/3250</f>
        <v>0.88080324329359427</v>
      </c>
      <c r="F92" s="28">
        <f>(D92-C92)/E92</f>
        <v>97.499999999999801</v>
      </c>
      <c r="G92" s="18"/>
      <c r="H92" s="80">
        <f>(D92-C79)*0.35</f>
        <v>308.16733349665122</v>
      </c>
      <c r="I92" s="19">
        <f>E92*50/C92</f>
        <v>1.5384615384615385E-2</v>
      </c>
      <c r="J92" s="85"/>
      <c r="K92" s="102" t="s">
        <v>49</v>
      </c>
    </row>
    <row r="93" spans="1:11" ht="13" thickBot="1">
      <c r="A93" s="78"/>
      <c r="B93" s="13"/>
      <c r="C93" s="22"/>
      <c r="D93" s="23"/>
      <c r="E93" s="23"/>
      <c r="F93" s="27"/>
      <c r="G93" s="23"/>
      <c r="H93" s="10"/>
      <c r="I93" s="24"/>
      <c r="J93" s="86"/>
    </row>
    <row r="94" spans="1:11">
      <c r="A94" s="103">
        <v>19</v>
      </c>
      <c r="B94" s="81">
        <f>B92+7</f>
        <v>43450</v>
      </c>
      <c r="C94" s="20">
        <f>D92+G92-H92</f>
        <v>2640.3215234286554</v>
      </c>
      <c r="D94" s="17">
        <f>C94+(C94*0.03)</f>
        <v>2719.5311691315151</v>
      </c>
      <c r="E94" s="17">
        <f>C94/3250</f>
        <v>0.81240662259343244</v>
      </c>
      <c r="F94" s="28">
        <f>(D94-C94)/E94</f>
        <v>97.500000000000028</v>
      </c>
      <c r="G94" s="17"/>
      <c r="H94" s="18"/>
      <c r="I94" s="19">
        <f>E94*50/C94</f>
        <v>1.5384615384615384E-2</v>
      </c>
      <c r="J94" s="85"/>
    </row>
    <row r="95" spans="1:11">
      <c r="A95" s="104"/>
      <c r="B95" s="81">
        <f>B94+7</f>
        <v>43457</v>
      </c>
      <c r="C95" s="20">
        <f>D94+G94-H94</f>
        <v>2719.5311691315151</v>
      </c>
      <c r="D95" s="17">
        <f>C95+(C95*0.03)</f>
        <v>2801.1171042054607</v>
      </c>
      <c r="E95" s="17">
        <f>C95/3250</f>
        <v>0.83677882127123537</v>
      </c>
      <c r="F95" s="28">
        <f>(D95-C95)/E95</f>
        <v>97.500000000000199</v>
      </c>
      <c r="G95" s="17"/>
      <c r="H95" s="18"/>
      <c r="I95" s="19">
        <f>E95*50/C95</f>
        <v>1.5384615384615384E-2</v>
      </c>
      <c r="J95" s="85"/>
    </row>
    <row r="96" spans="1:11">
      <c r="A96" s="104"/>
      <c r="B96" s="81">
        <f>B95+7</f>
        <v>43464</v>
      </c>
      <c r="C96" s="20">
        <f>D95+G95-H95</f>
        <v>2801.1171042054607</v>
      </c>
      <c r="D96" s="17">
        <f>C96+(C96*0.03)</f>
        <v>2885.1506173316243</v>
      </c>
      <c r="E96" s="17">
        <f>C96/3250</f>
        <v>0.86188218590937249</v>
      </c>
      <c r="F96" s="28">
        <f>(D96-C96)/E96</f>
        <v>97.499999999999744</v>
      </c>
      <c r="G96" s="17"/>
      <c r="H96" s="18"/>
      <c r="I96" s="19">
        <f>E96*50/C96</f>
        <v>1.5384615384615385E-2</v>
      </c>
      <c r="J96" s="85"/>
    </row>
    <row r="97" spans="1:11" ht="13" thickBot="1">
      <c r="A97" s="105"/>
      <c r="B97" s="81">
        <f>B96+7</f>
        <v>43471</v>
      </c>
      <c r="C97" s="20">
        <f>D96+G96-H96</f>
        <v>2885.1506173316243</v>
      </c>
      <c r="D97" s="17">
        <f>C97+(C97*0.03)</f>
        <v>2971.7051358515732</v>
      </c>
      <c r="E97" s="17">
        <f>C97/3250</f>
        <v>0.88773865148665365</v>
      </c>
      <c r="F97" s="28">
        <f>(D97-C97)/E97</f>
        <v>97.500000000000242</v>
      </c>
      <c r="G97" s="18"/>
      <c r="H97" s="80"/>
      <c r="I97" s="19">
        <f>E97*50/C97</f>
        <v>1.5384615384615385E-2</v>
      </c>
      <c r="J97" s="85"/>
    </row>
    <row r="98" spans="1:11" ht="13" thickBot="1">
      <c r="A98" s="78"/>
      <c r="B98" s="13"/>
      <c r="C98" s="22"/>
      <c r="D98" s="23"/>
      <c r="E98" s="23"/>
      <c r="F98" s="27"/>
      <c r="G98" s="23"/>
      <c r="H98" s="10"/>
      <c r="I98" s="24"/>
      <c r="J98" s="86"/>
    </row>
    <row r="99" spans="1:11">
      <c r="A99" s="103">
        <v>20</v>
      </c>
      <c r="B99" s="81">
        <f>B97+7</f>
        <v>43478</v>
      </c>
      <c r="C99" s="20">
        <f>D97+G97-H97</f>
        <v>2971.7051358515732</v>
      </c>
      <c r="D99" s="17">
        <f>C99+(C99*0.03)</f>
        <v>3060.8562899271205</v>
      </c>
      <c r="E99" s="17">
        <f>C99/3250</f>
        <v>0.91437081103125328</v>
      </c>
      <c r="F99" s="28">
        <f>(D99-C99)/E99</f>
        <v>97.500000000000128</v>
      </c>
      <c r="G99" s="18"/>
      <c r="H99" s="18"/>
      <c r="I99" s="19">
        <f>E99*50/C99</f>
        <v>1.5384615384615384E-2</v>
      </c>
      <c r="J99" s="85"/>
    </row>
    <row r="100" spans="1:11">
      <c r="A100" s="104"/>
      <c r="B100" s="81">
        <f>B99+7</f>
        <v>43485</v>
      </c>
      <c r="C100" s="20">
        <f>D99+G99-H99</f>
        <v>3060.8562899271205</v>
      </c>
      <c r="D100" s="17">
        <f>C100+(C100*0.03)</f>
        <v>3152.6819786249343</v>
      </c>
      <c r="E100" s="17">
        <f>C100/3250</f>
        <v>0.94180193536219092</v>
      </c>
      <c r="F100" s="28">
        <f>(D100-C100)/E100</f>
        <v>97.500000000000199</v>
      </c>
      <c r="G100" s="18"/>
      <c r="H100" s="18"/>
      <c r="I100" s="19">
        <f>E100*50/C100</f>
        <v>1.5384615384615384E-2</v>
      </c>
      <c r="J100" s="85"/>
    </row>
    <row r="101" spans="1:11">
      <c r="A101" s="104"/>
      <c r="B101" s="81">
        <f>B100+7</f>
        <v>43492</v>
      </c>
      <c r="C101" s="20">
        <f>D100+G100-H100</f>
        <v>3152.6819786249343</v>
      </c>
      <c r="D101" s="17">
        <f>C101+(C101*0.03)</f>
        <v>3247.2624379836825</v>
      </c>
      <c r="E101" s="17">
        <f>C101/3250</f>
        <v>0.97005599342305671</v>
      </c>
      <c r="F101" s="28">
        <f>(D101-C101)/E101</f>
        <v>97.500000000000128</v>
      </c>
      <c r="G101" s="18"/>
      <c r="H101" s="18"/>
      <c r="I101" s="19">
        <f>E101*50/C101</f>
        <v>1.5384615384615384E-2</v>
      </c>
      <c r="J101" s="85"/>
    </row>
    <row r="102" spans="1:11" ht="13" thickBot="1">
      <c r="A102" s="105"/>
      <c r="B102" s="81">
        <f>B101+7</f>
        <v>43499</v>
      </c>
      <c r="C102" s="20">
        <f>D101+G101-H101</f>
        <v>3247.2624379836825</v>
      </c>
      <c r="D102" s="17">
        <f>C102+(C102*0.03)</f>
        <v>3344.680311123193</v>
      </c>
      <c r="E102" s="17">
        <f>C102/3250</f>
        <v>0.99915767322574844</v>
      </c>
      <c r="F102" s="28">
        <f>(D102-C102)/E102</f>
        <v>97.499999999999972</v>
      </c>
      <c r="G102" s="18"/>
      <c r="H102" s="80"/>
      <c r="I102" s="19">
        <f>E102*50/C102</f>
        <v>1.5384615384615385E-2</v>
      </c>
      <c r="J102" s="85"/>
    </row>
    <row r="103" spans="1:11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6"/>
    </row>
    <row r="104" spans="1:11">
      <c r="A104" s="103">
        <v>21</v>
      </c>
      <c r="B104" s="81">
        <f>B102+7</f>
        <v>43506</v>
      </c>
      <c r="C104" s="20">
        <f>D102+G102-H102</f>
        <v>3344.680311123193</v>
      </c>
      <c r="D104" s="17">
        <f>C104+(C104*0.03)</f>
        <v>3445.0207204568887</v>
      </c>
      <c r="E104" s="17">
        <f>C104/3250</f>
        <v>1.0291324034225209</v>
      </c>
      <c r="F104" s="28">
        <f>(D104-C104)/E104</f>
        <v>97.5</v>
      </c>
      <c r="G104" s="18"/>
      <c r="H104" s="18"/>
      <c r="I104" s="19">
        <f>E104*50/C104</f>
        <v>1.5384615384615385E-2</v>
      </c>
      <c r="J104" s="85"/>
    </row>
    <row r="105" spans="1:11">
      <c r="A105" s="104"/>
      <c r="B105" s="81">
        <f>B104+7</f>
        <v>43513</v>
      </c>
      <c r="C105" s="20">
        <f>D104+G104-H104</f>
        <v>3445.0207204568887</v>
      </c>
      <c r="D105" s="17">
        <f>C105+(C105*0.03)</f>
        <v>3548.3713420705953</v>
      </c>
      <c r="E105" s="17">
        <f>C105/3250</f>
        <v>1.0600063755251965</v>
      </c>
      <c r="F105" s="28">
        <f>(D105-C105)/E105</f>
        <v>97.499999999999957</v>
      </c>
      <c r="G105" s="18"/>
      <c r="H105" s="18"/>
      <c r="I105" s="19">
        <f>E105*50/C105</f>
        <v>1.5384615384615384E-2</v>
      </c>
      <c r="J105" s="85"/>
    </row>
    <row r="106" spans="1:11">
      <c r="A106" s="104"/>
      <c r="B106" s="81">
        <f>B105+7</f>
        <v>43520</v>
      </c>
      <c r="C106" s="20">
        <f>D105+G105-H105</f>
        <v>3548.3713420705953</v>
      </c>
      <c r="D106" s="17">
        <f>C106+(C106*0.03)</f>
        <v>3654.8224823327132</v>
      </c>
      <c r="E106" s="17">
        <f>C106/3250</f>
        <v>1.0918065667909524</v>
      </c>
      <c r="F106" s="28">
        <f>(D106-C106)/E106</f>
        <v>97.5</v>
      </c>
      <c r="G106" s="18"/>
      <c r="H106" s="18"/>
      <c r="I106" s="19">
        <f>E106*50/C106</f>
        <v>1.5384615384615385E-2</v>
      </c>
      <c r="J106" s="85"/>
    </row>
    <row r="107" spans="1:11" ht="13.5" thickBot="1">
      <c r="A107" s="105"/>
      <c r="B107" s="81">
        <f>B106+7</f>
        <v>43527</v>
      </c>
      <c r="C107" s="20">
        <f>D106+G106-H106</f>
        <v>3654.8224823327132</v>
      </c>
      <c r="D107" s="17">
        <f>C107+(C107*0.03)</f>
        <v>3764.4671568026947</v>
      </c>
      <c r="E107" s="17">
        <f>C107/3250</f>
        <v>1.1245607637946811</v>
      </c>
      <c r="F107" s="28">
        <f>(D107-C107)/E107</f>
        <v>97.500000000000099</v>
      </c>
      <c r="G107" s="18"/>
      <c r="H107" s="80">
        <f>(D107-C94)*0.35</f>
        <v>393.45097168091377</v>
      </c>
      <c r="I107" s="19">
        <f>E107*50/C107</f>
        <v>1.5384615384615385E-2</v>
      </c>
      <c r="J107" s="85"/>
      <c r="K107" s="102" t="s">
        <v>49</v>
      </c>
    </row>
    <row r="108" spans="1:11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6"/>
    </row>
    <row r="109" spans="1:11">
      <c r="A109" s="103">
        <v>22</v>
      </c>
      <c r="B109" s="81">
        <f>B107+7</f>
        <v>43534</v>
      </c>
      <c r="C109" s="20">
        <f>D107+G107-H107</f>
        <v>3371.0161851217808</v>
      </c>
      <c r="D109" s="17">
        <f>C109+(C109*0.03)</f>
        <v>3472.1466706754341</v>
      </c>
      <c r="E109" s="17">
        <f>C109/3250</f>
        <v>1.0372357492682402</v>
      </c>
      <c r="F109" s="28">
        <f>(D109-C109)/E109</f>
        <v>97.499999999999801</v>
      </c>
      <c r="G109" s="18"/>
      <c r="H109" s="18"/>
      <c r="I109" s="19">
        <f>E109*50/C109</f>
        <v>1.5384615384615385E-2</v>
      </c>
      <c r="J109" s="85"/>
    </row>
    <row r="110" spans="1:11">
      <c r="A110" s="104"/>
      <c r="B110" s="81">
        <f>B109+7</f>
        <v>43541</v>
      </c>
      <c r="C110" s="20">
        <f>D109+G109-H109</f>
        <v>3472.1466706754341</v>
      </c>
      <c r="D110" s="17">
        <f>C110+(C110*0.03)</f>
        <v>3576.3110707956971</v>
      </c>
      <c r="E110" s="17">
        <f>C110/3250</f>
        <v>1.0683528217462874</v>
      </c>
      <c r="F110" s="28">
        <f>(D110-C110)/E110</f>
        <v>97.500000000000028</v>
      </c>
      <c r="G110" s="18"/>
      <c r="H110" s="18"/>
      <c r="I110" s="19">
        <f>E110*50/C110</f>
        <v>1.5384615384615385E-2</v>
      </c>
      <c r="J110" s="85"/>
    </row>
    <row r="111" spans="1:11">
      <c r="A111" s="104"/>
      <c r="B111" s="81">
        <f>B110+7</f>
        <v>43548</v>
      </c>
      <c r="C111" s="20">
        <f>D110+G110-H110</f>
        <v>3576.3110707956971</v>
      </c>
      <c r="D111" s="17">
        <f>C111+(C111*0.03)</f>
        <v>3683.6004029195678</v>
      </c>
      <c r="E111" s="17">
        <f>C111/3250</f>
        <v>1.1004034063986761</v>
      </c>
      <c r="F111" s="28">
        <f>(D111-C111)/E111</f>
        <v>97.499999999999829</v>
      </c>
      <c r="G111" s="18"/>
      <c r="H111" s="18"/>
      <c r="I111" s="19">
        <f>E111*50/C111</f>
        <v>1.5384615384615385E-2</v>
      </c>
      <c r="J111" s="85"/>
    </row>
    <row r="112" spans="1:11" ht="13" thickBot="1">
      <c r="A112" s="105"/>
      <c r="B112" s="81">
        <f>B111+7</f>
        <v>43555</v>
      </c>
      <c r="C112" s="20">
        <f>D111+G111-H111</f>
        <v>3683.6004029195678</v>
      </c>
      <c r="D112" s="17">
        <f>C112+(C112*0.03)</f>
        <v>3794.1084150071547</v>
      </c>
      <c r="E112" s="17">
        <f>C112/3250</f>
        <v>1.1334155085906363</v>
      </c>
      <c r="F112" s="28">
        <f>(D112-C112)/E112</f>
        <v>97.499999999999829</v>
      </c>
      <c r="G112" s="18"/>
      <c r="H112" s="80"/>
      <c r="I112" s="19">
        <f>E112*50/C112</f>
        <v>1.5384615384615385E-2</v>
      </c>
      <c r="J112" s="85"/>
    </row>
    <row r="113" spans="1:11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6"/>
    </row>
    <row r="114" spans="1:11">
      <c r="A114" s="103">
        <v>23</v>
      </c>
      <c r="B114" s="81">
        <f>B112+7</f>
        <v>43562</v>
      </c>
      <c r="C114" s="20">
        <f>D112+G112-H112</f>
        <v>3794.1084150071547</v>
      </c>
      <c r="D114" s="17">
        <f>C114+(C114*0.03)</f>
        <v>3907.9316674573693</v>
      </c>
      <c r="E114" s="17">
        <f>C114/3250</f>
        <v>1.1674179738483552</v>
      </c>
      <c r="F114" s="28">
        <f>(D114-C114)/E114</f>
        <v>97.499999999999943</v>
      </c>
      <c r="G114" s="18"/>
      <c r="H114" s="18"/>
      <c r="I114" s="19">
        <f>E114*50/C114</f>
        <v>1.5384615384615384E-2</v>
      </c>
      <c r="J114" s="85"/>
    </row>
    <row r="115" spans="1:11">
      <c r="A115" s="104"/>
      <c r="B115" s="81">
        <f>B114+7</f>
        <v>43569</v>
      </c>
      <c r="C115" s="20">
        <f>D114+G114-H114</f>
        <v>3907.9316674573693</v>
      </c>
      <c r="D115" s="17">
        <f>C115+(C115*0.03)</f>
        <v>4025.1696174810904</v>
      </c>
      <c r="E115" s="17">
        <f>C115/3250</f>
        <v>1.2024405130638058</v>
      </c>
      <c r="F115" s="28">
        <f>(D115-C115)/E115</f>
        <v>97.500000000000085</v>
      </c>
      <c r="G115" s="18"/>
      <c r="H115" s="18"/>
      <c r="I115" s="19">
        <f>E115*50/C115</f>
        <v>1.5384615384615384E-2</v>
      </c>
      <c r="J115" s="85"/>
    </row>
    <row r="116" spans="1:11">
      <c r="A116" s="104"/>
      <c r="B116" s="81">
        <f>B115+7</f>
        <v>43576</v>
      </c>
      <c r="C116" s="20">
        <f>D115+G115-H115</f>
        <v>4025.1696174810904</v>
      </c>
      <c r="D116" s="17">
        <f>C116+(C116*0.03)</f>
        <v>4145.9247060055231</v>
      </c>
      <c r="E116" s="17">
        <f>C116/3250</f>
        <v>1.2385137284557202</v>
      </c>
      <c r="F116" s="28">
        <f>(D116-C116)/E116</f>
        <v>97.5</v>
      </c>
      <c r="G116" s="18"/>
      <c r="H116" s="18"/>
      <c r="I116" s="19">
        <f>E116*50/C116</f>
        <v>1.5384615384615385E-2</v>
      </c>
      <c r="J116" s="85"/>
    </row>
    <row r="117" spans="1:11" ht="13" thickBot="1">
      <c r="A117" s="105"/>
      <c r="B117" s="81">
        <f>B116+7</f>
        <v>43583</v>
      </c>
      <c r="C117" s="20">
        <f>D116+G116-H116</f>
        <v>4145.9247060055231</v>
      </c>
      <c r="D117" s="17">
        <f>C117+(C117*0.03)</f>
        <v>4270.3024471856888</v>
      </c>
      <c r="E117" s="17">
        <f>C117/3250</f>
        <v>1.2756691403093918</v>
      </c>
      <c r="F117" s="28">
        <f>(D117-C117)/E117</f>
        <v>97.499999999999986</v>
      </c>
      <c r="G117" s="18"/>
      <c r="H117" s="80"/>
      <c r="I117" s="19">
        <f>E117*50/C117</f>
        <v>1.5384615384615385E-2</v>
      </c>
      <c r="J117" s="85"/>
    </row>
    <row r="118" spans="1:11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6"/>
    </row>
    <row r="119" spans="1:11">
      <c r="A119" s="103">
        <v>24</v>
      </c>
      <c r="B119" s="81">
        <f>B117+7</f>
        <v>43590</v>
      </c>
      <c r="C119" s="20">
        <f>D117+G117-H117</f>
        <v>4270.3024471856888</v>
      </c>
      <c r="D119" s="17">
        <f>C119+(C119*0.03)</f>
        <v>4398.4115206012593</v>
      </c>
      <c r="E119" s="17">
        <f>C119/3250</f>
        <v>1.3139392145186735</v>
      </c>
      <c r="F119" s="28">
        <f>(D119-C119)/E119</f>
        <v>97.499999999999872</v>
      </c>
      <c r="G119" s="18"/>
      <c r="H119" s="18"/>
      <c r="I119" s="19">
        <f>E119*50/C119</f>
        <v>1.5384615384615385E-2</v>
      </c>
      <c r="J119" s="85"/>
    </row>
    <row r="120" spans="1:11">
      <c r="A120" s="104"/>
      <c r="B120" s="81">
        <f>B119+7</f>
        <v>43597</v>
      </c>
      <c r="C120" s="20">
        <f>D119+G119-H119</f>
        <v>4398.4115206012593</v>
      </c>
      <c r="D120" s="17">
        <f>C120+(C120*0.03)</f>
        <v>4530.3638662192971</v>
      </c>
      <c r="E120" s="17">
        <f>C120/3250</f>
        <v>1.3533573909542336</v>
      </c>
      <c r="F120" s="28">
        <f>(D120-C120)/E120</f>
        <v>97.499999999999957</v>
      </c>
      <c r="G120" s="18"/>
      <c r="H120" s="18"/>
      <c r="I120" s="19">
        <f>E120*50/C120</f>
        <v>1.5384615384615384E-2</v>
      </c>
      <c r="J120" s="85"/>
    </row>
    <row r="121" spans="1:11">
      <c r="A121" s="104"/>
      <c r="B121" s="81">
        <f>B120+7</f>
        <v>43604</v>
      </c>
      <c r="C121" s="20">
        <f>D120+G120-H120</f>
        <v>4530.3638662192971</v>
      </c>
      <c r="D121" s="17">
        <f>C121+(C121*0.03)</f>
        <v>4666.2747822058764</v>
      </c>
      <c r="E121" s="17">
        <f>C121/3250</f>
        <v>1.3939581126828606</v>
      </c>
      <c r="F121" s="28">
        <f>(D121-C121)/E121</f>
        <v>97.500000000000284</v>
      </c>
      <c r="G121" s="18"/>
      <c r="H121" s="18"/>
      <c r="I121" s="19">
        <f>E121*50/C121</f>
        <v>1.5384615384615384E-2</v>
      </c>
      <c r="J121" s="85"/>
    </row>
    <row r="122" spans="1:11" ht="13.5" thickBot="1">
      <c r="A122" s="105"/>
      <c r="B122" s="81">
        <f>B121+7</f>
        <v>43611</v>
      </c>
      <c r="C122" s="20">
        <f>D121+G121-H121</f>
        <v>4666.2747822058764</v>
      </c>
      <c r="D122" s="17">
        <f>C122+(C122*0.03)</f>
        <v>4806.2630256720522</v>
      </c>
      <c r="E122" s="17">
        <f>C122/3250</f>
        <v>1.4357768560633466</v>
      </c>
      <c r="F122" s="28">
        <f>(D122-C122)/E122</f>
        <v>97.499999999999687</v>
      </c>
      <c r="G122" s="18"/>
      <c r="H122" s="80">
        <f>(D122-C109)*0.35</f>
        <v>502.33639419259492</v>
      </c>
      <c r="I122" s="19">
        <f>E122*50/C122</f>
        <v>1.5384615384615384E-2</v>
      </c>
      <c r="J122" s="85"/>
      <c r="K122" s="102" t="s">
        <v>49</v>
      </c>
    </row>
    <row r="123" spans="1:11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6"/>
    </row>
    <row r="124" spans="1:11">
      <c r="A124" s="103">
        <v>25</v>
      </c>
      <c r="B124" s="81">
        <f>B122+7</f>
        <v>43618</v>
      </c>
      <c r="C124" s="20">
        <f>D122+G122-H122</f>
        <v>4303.9266314794577</v>
      </c>
      <c r="D124" s="17">
        <f>C124+(C124*0.03)</f>
        <v>4433.0444304238417</v>
      </c>
      <c r="E124" s="17">
        <f>C124/3250</f>
        <v>1.3242851173782946</v>
      </c>
      <c r="F124" s="28">
        <f>(D124-C124)/E124</f>
        <v>97.500000000000242</v>
      </c>
      <c r="G124" s="17"/>
      <c r="H124" s="18"/>
      <c r="I124" s="19">
        <f>E124*50/C124</f>
        <v>1.5384615384615385E-2</v>
      </c>
      <c r="J124" s="85"/>
    </row>
    <row r="125" spans="1:11">
      <c r="A125" s="104"/>
      <c r="B125" s="81">
        <f>B124+7</f>
        <v>43625</v>
      </c>
      <c r="C125" s="20">
        <f>D124+G124-H124</f>
        <v>4433.0444304238417</v>
      </c>
      <c r="D125" s="17">
        <f>C125+(C125*0.03)</f>
        <v>4566.0357633365566</v>
      </c>
      <c r="E125" s="17">
        <f>C125/3250</f>
        <v>1.3640136708996435</v>
      </c>
      <c r="F125" s="28">
        <f>(D125-C125)/E125</f>
        <v>97.499999999999687</v>
      </c>
      <c r="G125" s="17"/>
      <c r="H125" s="18"/>
      <c r="I125" s="19">
        <f>E125*50/C125</f>
        <v>1.5384615384615385E-2</v>
      </c>
      <c r="J125" s="85"/>
    </row>
    <row r="126" spans="1:11">
      <c r="A126" s="104"/>
      <c r="B126" s="81">
        <f>B125+7</f>
        <v>43632</v>
      </c>
      <c r="C126" s="20">
        <f>D125+G125-H125</f>
        <v>4566.0357633365566</v>
      </c>
      <c r="D126" s="17">
        <f>C126+(C126*0.03)</f>
        <v>4703.016836236653</v>
      </c>
      <c r="E126" s="17">
        <f>C126/3250</f>
        <v>1.4049340810266329</v>
      </c>
      <c r="F126" s="28">
        <f>(D126-C126)/E126</f>
        <v>97.499999999999844</v>
      </c>
      <c r="G126" s="17"/>
      <c r="H126" s="18"/>
      <c r="I126" s="19">
        <f>E126*50/C126</f>
        <v>1.5384615384615387E-2</v>
      </c>
      <c r="J126" s="85"/>
    </row>
    <row r="127" spans="1:11" ht="13" thickBot="1">
      <c r="A127" s="105"/>
      <c r="B127" s="81">
        <f>B126+7</f>
        <v>43639</v>
      </c>
      <c r="C127" s="20">
        <f>D126+G126-H126</f>
        <v>4703.016836236653</v>
      </c>
      <c r="D127" s="17">
        <f>C127+(C127*0.03)</f>
        <v>4844.1073413237527</v>
      </c>
      <c r="E127" s="17">
        <f>C127/3250</f>
        <v>1.4470821034574317</v>
      </c>
      <c r="F127" s="28">
        <f>(D127-C127)/E127</f>
        <v>97.500000000000071</v>
      </c>
      <c r="G127" s="18"/>
      <c r="H127" s="80"/>
      <c r="I127" s="19">
        <f>E127*50/C127</f>
        <v>1.5384615384615384E-2</v>
      </c>
      <c r="J127" s="85"/>
    </row>
    <row r="128" spans="1:11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6"/>
    </row>
    <row r="129" spans="1:11">
      <c r="A129" s="103">
        <v>26</v>
      </c>
      <c r="B129" s="81">
        <f>B127+7</f>
        <v>43646</v>
      </c>
      <c r="C129" s="20">
        <f>D127+G127-H127</f>
        <v>4844.1073413237527</v>
      </c>
      <c r="D129" s="17">
        <f>C129+(C129*0.03)</f>
        <v>4989.4305615634657</v>
      </c>
      <c r="E129" s="17">
        <f>C129/3250</f>
        <v>1.4904945665611546</v>
      </c>
      <c r="F129" s="28">
        <f>(D129-C129)/E129</f>
        <v>97.500000000000284</v>
      </c>
      <c r="G129" s="18"/>
      <c r="H129" s="18"/>
      <c r="I129" s="19">
        <f>E129*50/C129</f>
        <v>1.5384615384615384E-2</v>
      </c>
      <c r="J129" s="85"/>
    </row>
    <row r="130" spans="1:11">
      <c r="A130" s="104"/>
      <c r="B130" s="81">
        <f>B129+7</f>
        <v>43653</v>
      </c>
      <c r="C130" s="20">
        <f>D129+G129-H129</f>
        <v>4989.4305615634657</v>
      </c>
      <c r="D130" s="17">
        <f>C130+(C130*0.03)</f>
        <v>5139.1134784103697</v>
      </c>
      <c r="E130" s="17">
        <f>C130/3250</f>
        <v>1.5352094035579895</v>
      </c>
      <c r="F130" s="28">
        <f>(D130-C130)/E130</f>
        <v>97.499999999999972</v>
      </c>
      <c r="G130" s="18"/>
      <c r="H130" s="18"/>
      <c r="I130" s="19">
        <f>E130*50/C130</f>
        <v>1.5384615384615385E-2</v>
      </c>
      <c r="J130" s="85"/>
    </row>
    <row r="131" spans="1:11">
      <c r="A131" s="104"/>
      <c r="B131" s="81">
        <f>B130+7</f>
        <v>43660</v>
      </c>
      <c r="C131" s="20">
        <f>D130+G130-H130</f>
        <v>5139.1134784103697</v>
      </c>
      <c r="D131" s="17">
        <f>C131+(C131*0.03)</f>
        <v>5293.2868827626808</v>
      </c>
      <c r="E131" s="17">
        <f>C131/3250</f>
        <v>1.5812656856647291</v>
      </c>
      <c r="F131" s="28">
        <f>(D131-C131)/E131</f>
        <v>97.5</v>
      </c>
      <c r="G131" s="18"/>
      <c r="H131" s="18"/>
      <c r="I131" s="19">
        <f>E131*50/C131</f>
        <v>1.5384615384615384E-2</v>
      </c>
      <c r="J131" s="85"/>
    </row>
    <row r="132" spans="1:11" ht="13" thickBot="1">
      <c r="A132" s="105"/>
      <c r="B132" s="81">
        <f>B131+7</f>
        <v>43667</v>
      </c>
      <c r="C132" s="20">
        <f>D131+G131-H131</f>
        <v>5293.2868827626808</v>
      </c>
      <c r="D132" s="17">
        <f>C132+(C132*0.03)</f>
        <v>5452.0854892455609</v>
      </c>
      <c r="E132" s="17">
        <f>C132/3250</f>
        <v>1.6287036562346711</v>
      </c>
      <c r="F132" s="28">
        <f>(D132-C132)/E132</f>
        <v>97.499999999999815</v>
      </c>
      <c r="G132" s="18"/>
      <c r="H132" s="80"/>
      <c r="I132" s="19">
        <f>E132*50/C132</f>
        <v>1.5384615384615385E-2</v>
      </c>
      <c r="J132" s="85"/>
    </row>
    <row r="133" spans="1:11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6"/>
    </row>
    <row r="134" spans="1:11">
      <c r="A134" s="103">
        <v>27</v>
      </c>
      <c r="B134" s="81">
        <f>B132+7</f>
        <v>43674</v>
      </c>
      <c r="C134" s="20">
        <f>D132+G132-H132</f>
        <v>5452.0854892455609</v>
      </c>
      <c r="D134" s="17">
        <f>C134+(C134*0.03)</f>
        <v>5615.6480539229278</v>
      </c>
      <c r="E134" s="17">
        <f>C134/3250</f>
        <v>1.677564765921711</v>
      </c>
      <c r="F134" s="28">
        <f>(D134-C134)/E134</f>
        <v>97.500000000000071</v>
      </c>
      <c r="G134" s="18"/>
      <c r="H134" s="18"/>
      <c r="I134" s="19">
        <f>E134*50/C134</f>
        <v>1.5384615384615385E-2</v>
      </c>
      <c r="J134" s="85"/>
    </row>
    <row r="135" spans="1:11">
      <c r="A135" s="104"/>
      <c r="B135" s="81">
        <f>B134+7</f>
        <v>43681</v>
      </c>
      <c r="C135" s="20">
        <f>D134+G134-H134</f>
        <v>5615.6480539229278</v>
      </c>
      <c r="D135" s="17">
        <f>C135+(C135*0.03)</f>
        <v>5784.1174955406159</v>
      </c>
      <c r="E135" s="17">
        <f>C135/3250</f>
        <v>1.7278917088993624</v>
      </c>
      <c r="F135" s="28">
        <f>(D135-C135)/E135</f>
        <v>97.500000000000128</v>
      </c>
      <c r="G135" s="18"/>
      <c r="H135" s="18"/>
      <c r="I135" s="19">
        <f>E135*50/C135</f>
        <v>1.5384615384615384E-2</v>
      </c>
      <c r="J135" s="85"/>
    </row>
    <row r="136" spans="1:11">
      <c r="A136" s="104"/>
      <c r="B136" s="81">
        <f>B135+7</f>
        <v>43688</v>
      </c>
      <c r="C136" s="20">
        <f>D135+G135-H135</f>
        <v>5784.1174955406159</v>
      </c>
      <c r="D136" s="17">
        <f>C136+(C136*0.03)</f>
        <v>5957.6410204068343</v>
      </c>
      <c r="E136" s="17">
        <f>C136/3250</f>
        <v>1.7797284601663435</v>
      </c>
      <c r="F136" s="28">
        <f>(D136-C136)/E136</f>
        <v>97.499999999999943</v>
      </c>
      <c r="G136" s="18"/>
      <c r="H136" s="18"/>
      <c r="I136" s="19">
        <f>E136*50/C136</f>
        <v>1.5384615384615385E-2</v>
      </c>
      <c r="J136" s="85"/>
    </row>
    <row r="137" spans="1:11" ht="13.5" thickBot="1">
      <c r="A137" s="105"/>
      <c r="B137" s="81">
        <f>B136+7</f>
        <v>43695</v>
      </c>
      <c r="C137" s="20">
        <f>D136+G136-H136</f>
        <v>5957.6410204068343</v>
      </c>
      <c r="D137" s="17">
        <f>C137+(C137*0.03)</f>
        <v>6136.3702510190396</v>
      </c>
      <c r="E137" s="17">
        <f>C137/3250</f>
        <v>1.8331203139713337</v>
      </c>
      <c r="F137" s="28">
        <f>(D137-C137)/E137</f>
        <v>97.500000000000171</v>
      </c>
      <c r="G137" s="18"/>
      <c r="H137" s="80">
        <f>(D137-C124)*0.35</f>
        <v>641.35526683885359</v>
      </c>
      <c r="I137" s="19">
        <f>E137*50/C137</f>
        <v>1.5384615384615385E-2</v>
      </c>
      <c r="J137" s="85"/>
      <c r="K137" s="102" t="s">
        <v>49</v>
      </c>
    </row>
    <row r="138" spans="1:11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89"/>
    </row>
    <row r="139" spans="1:11">
      <c r="A139" s="103">
        <v>28</v>
      </c>
      <c r="B139" s="81">
        <f>B137+7</f>
        <v>43702</v>
      </c>
      <c r="C139" s="20">
        <f>D137+G137-H137</f>
        <v>5495.0149841801858</v>
      </c>
      <c r="D139" s="17">
        <f>C139+(C139*0.03)</f>
        <v>5659.8654337055914</v>
      </c>
      <c r="E139" s="17">
        <f>C139/3250</f>
        <v>1.690773841286211</v>
      </c>
      <c r="F139" s="28">
        <f>(D139-C139)/E139</f>
        <v>97.5</v>
      </c>
      <c r="G139" s="18"/>
      <c r="H139" s="18"/>
      <c r="I139" s="19">
        <f>E139*50/C139</f>
        <v>1.5384615384615385E-2</v>
      </c>
      <c r="J139" s="85"/>
    </row>
    <row r="140" spans="1:11">
      <c r="A140" s="104"/>
      <c r="B140" s="81">
        <f>B139+7</f>
        <v>43709</v>
      </c>
      <c r="C140" s="20">
        <f>D139+G139-H139</f>
        <v>5659.8654337055914</v>
      </c>
      <c r="D140" s="17">
        <f>C140+(C140*0.03)</f>
        <v>5829.6613967167596</v>
      </c>
      <c r="E140" s="17">
        <f>C140/3250</f>
        <v>1.7414970565247974</v>
      </c>
      <c r="F140" s="28">
        <f>(D140-C140)/E140</f>
        <v>97.500000000000242</v>
      </c>
      <c r="G140" s="18"/>
      <c r="H140" s="18"/>
      <c r="I140" s="19">
        <f>E140*50/C140</f>
        <v>1.5384615384615384E-2</v>
      </c>
      <c r="J140" s="85"/>
    </row>
    <row r="141" spans="1:11">
      <c r="A141" s="104"/>
      <c r="B141" s="81">
        <f>B140+7</f>
        <v>43716</v>
      </c>
      <c r="C141" s="20">
        <f>D140+G140-H140</f>
        <v>5829.6613967167596</v>
      </c>
      <c r="D141" s="17">
        <f>C141+(C141*0.03)</f>
        <v>6004.5512386182627</v>
      </c>
      <c r="E141" s="17">
        <f>C141/3250</f>
        <v>1.7937419682205413</v>
      </c>
      <c r="F141" s="28">
        <f>(D141-C141)/E141</f>
        <v>97.500000000000199</v>
      </c>
      <c r="G141" s="18"/>
      <c r="H141" s="18"/>
      <c r="I141" s="19">
        <f>E141*50/C141</f>
        <v>1.5384615384615384E-2</v>
      </c>
      <c r="J141" s="85"/>
    </row>
    <row r="142" spans="1:11" ht="13" thickBot="1">
      <c r="A142" s="105"/>
      <c r="B142" s="81">
        <f>B141+7</f>
        <v>43723</v>
      </c>
      <c r="C142" s="20">
        <f>D141+G141-H141</f>
        <v>6004.5512386182627</v>
      </c>
      <c r="D142" s="17">
        <f>C142+(C142*0.03)</f>
        <v>6184.6877757768107</v>
      </c>
      <c r="E142" s="17">
        <f>C142/3250</f>
        <v>1.8475542272671577</v>
      </c>
      <c r="F142" s="28">
        <f>(D142-C142)/E142</f>
        <v>97.500000000000057</v>
      </c>
      <c r="G142" s="18"/>
      <c r="H142" s="80"/>
      <c r="I142" s="19">
        <f>E142*50/C142</f>
        <v>1.5384615384615385E-2</v>
      </c>
      <c r="J142" s="85"/>
    </row>
    <row r="143" spans="1:11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6"/>
    </row>
    <row r="144" spans="1:11">
      <c r="A144" s="103">
        <v>29</v>
      </c>
      <c r="B144" s="81">
        <f>B142+7</f>
        <v>43730</v>
      </c>
      <c r="C144" s="20">
        <f>D142+G142-H142</f>
        <v>6184.6877757768107</v>
      </c>
      <c r="D144" s="17">
        <f>C144+(C144*0.03)</f>
        <v>6370.2284090501153</v>
      </c>
      <c r="E144" s="17">
        <f>C144/3250</f>
        <v>1.9029808540851725</v>
      </c>
      <c r="F144" s="28">
        <f>(D144-C144)/E144</f>
        <v>97.500000000000142</v>
      </c>
      <c r="G144" s="18"/>
      <c r="H144" s="18"/>
      <c r="I144" s="19">
        <f>E144*50/C144</f>
        <v>1.5384615384615384E-2</v>
      </c>
      <c r="J144" s="85"/>
    </row>
    <row r="145" spans="1:11">
      <c r="A145" s="104"/>
      <c r="B145" s="81">
        <f>B144+7</f>
        <v>43737</v>
      </c>
      <c r="C145" s="20">
        <f>D144+G144-H144</f>
        <v>6370.2284090501153</v>
      </c>
      <c r="D145" s="17">
        <f>C145+(C145*0.03)</f>
        <v>6561.3352613216184</v>
      </c>
      <c r="E145" s="17">
        <f>C145/3250</f>
        <v>1.9600702797077278</v>
      </c>
      <c r="F145" s="28">
        <f>(D145-C145)/E145</f>
        <v>97.499999999999844</v>
      </c>
      <c r="G145" s="18"/>
      <c r="H145" s="18"/>
      <c r="I145" s="19">
        <f>E145*50/C145</f>
        <v>1.5384615384615385E-2</v>
      </c>
      <c r="J145" s="85"/>
    </row>
    <row r="146" spans="1:11">
      <c r="A146" s="104"/>
      <c r="B146" s="81">
        <f>B145+7</f>
        <v>43744</v>
      </c>
      <c r="C146" s="20">
        <f>D145+G145-H145</f>
        <v>6561.3352613216184</v>
      </c>
      <c r="D146" s="17">
        <f>C146+(C146*0.03)</f>
        <v>6758.175319161267</v>
      </c>
      <c r="E146" s="17">
        <f>C146/3250</f>
        <v>2.0188723880989596</v>
      </c>
      <c r="F146" s="28">
        <f>(D146-C146)/E146</f>
        <v>97.500000000000014</v>
      </c>
      <c r="G146" s="18"/>
      <c r="H146" s="18"/>
      <c r="I146" s="19">
        <f>E146*50/C146</f>
        <v>1.5384615384615385E-2</v>
      </c>
      <c r="J146" s="85"/>
    </row>
    <row r="147" spans="1:11" ht="13" thickBot="1">
      <c r="A147" s="105"/>
      <c r="B147" s="81">
        <f>B146+7</f>
        <v>43751</v>
      </c>
      <c r="C147" s="20">
        <f>D146+G146-H146</f>
        <v>6758.175319161267</v>
      </c>
      <c r="D147" s="17">
        <f>C147+(C147*0.03)</f>
        <v>6960.9205787361052</v>
      </c>
      <c r="E147" s="17">
        <f>C147/3250</f>
        <v>2.0794385597419285</v>
      </c>
      <c r="F147" s="28">
        <f>(D147-C147)/E147</f>
        <v>97.500000000000085</v>
      </c>
      <c r="G147" s="18"/>
      <c r="H147" s="80"/>
      <c r="I147" s="19">
        <f>E147*50/C147</f>
        <v>1.5384615384615385E-2</v>
      </c>
      <c r="J147" s="85"/>
    </row>
    <row r="148" spans="1:11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6"/>
    </row>
    <row r="149" spans="1:11">
      <c r="A149" s="103">
        <v>30</v>
      </c>
      <c r="B149" s="81">
        <f>B147+7</f>
        <v>43758</v>
      </c>
      <c r="C149" s="20">
        <f>D147+G147-H147</f>
        <v>6960.9205787361052</v>
      </c>
      <c r="D149" s="17">
        <f>C149+(C149*0.03)</f>
        <v>7169.7481960981886</v>
      </c>
      <c r="E149" s="17">
        <f>C149/3250</f>
        <v>2.1418217165341864</v>
      </c>
      <c r="F149" s="28">
        <f>(D149-C149)/E149</f>
        <v>97.500000000000099</v>
      </c>
      <c r="G149" s="18"/>
      <c r="H149" s="18"/>
      <c r="I149" s="19">
        <f>E149*50/C149</f>
        <v>1.5384615384615385E-2</v>
      </c>
      <c r="J149" s="85"/>
    </row>
    <row r="150" spans="1:11">
      <c r="A150" s="104"/>
      <c r="B150" s="81">
        <f>B149+7</f>
        <v>43765</v>
      </c>
      <c r="C150" s="20">
        <f>D149+G149-H149</f>
        <v>7169.7481960981886</v>
      </c>
      <c r="D150" s="17">
        <f>C150+(C150*0.03)</f>
        <v>7384.8406419811345</v>
      </c>
      <c r="E150" s="17">
        <f>C150/3250</f>
        <v>2.206076368030212</v>
      </c>
      <c r="F150" s="28">
        <f>(D150-C150)/E150</f>
        <v>97.500000000000085</v>
      </c>
      <c r="G150" s="18"/>
      <c r="H150" s="18"/>
      <c r="I150" s="19">
        <f>E150*50/C150</f>
        <v>1.5384615384615385E-2</v>
      </c>
      <c r="J150" s="85"/>
    </row>
    <row r="151" spans="1:11">
      <c r="A151" s="104"/>
      <c r="B151" s="81">
        <f>B150+7</f>
        <v>43772</v>
      </c>
      <c r="C151" s="20">
        <f>D150+G150-H150</f>
        <v>7384.8406419811345</v>
      </c>
      <c r="D151" s="17">
        <f>C151+(C151*0.03)</f>
        <v>7606.3858612405684</v>
      </c>
      <c r="E151" s="17">
        <f>C151/3250</f>
        <v>2.2722586590711185</v>
      </c>
      <c r="F151" s="28">
        <f>(D151-C151)/E151</f>
        <v>97.499999999999943</v>
      </c>
      <c r="G151" s="18"/>
      <c r="H151" s="18"/>
      <c r="I151" s="19">
        <f>E151*50/C151</f>
        <v>1.5384615384615385E-2</v>
      </c>
      <c r="J151" s="85"/>
    </row>
    <row r="152" spans="1:11" ht="13.5" thickBot="1">
      <c r="A152" s="105"/>
      <c r="B152" s="81">
        <f>B151+7</f>
        <v>43779</v>
      </c>
      <c r="C152" s="20">
        <f>D151+G151-H151</f>
        <v>7606.3858612405684</v>
      </c>
      <c r="D152" s="17">
        <f>C152+(C152*0.03)</f>
        <v>7834.5774370777854</v>
      </c>
      <c r="E152" s="17">
        <f>C152/3250</f>
        <v>2.340426418843252</v>
      </c>
      <c r="F152" s="28">
        <f>(D152-C152)/E152</f>
        <v>97.499999999999972</v>
      </c>
      <c r="G152" s="18"/>
      <c r="H152" s="80">
        <f>(D152-C139)*0.35</f>
        <v>818.84685851415975</v>
      </c>
      <c r="I152" s="19">
        <f>E152*50/C152</f>
        <v>1.5384615384615385E-2</v>
      </c>
      <c r="J152" s="85"/>
      <c r="K152" s="102" t="s">
        <v>49</v>
      </c>
    </row>
    <row r="153" spans="1:11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6"/>
    </row>
    <row r="154" spans="1:11">
      <c r="A154" s="103">
        <v>31</v>
      </c>
      <c r="B154" s="81">
        <f>B152+7</f>
        <v>43786</v>
      </c>
      <c r="C154" s="20">
        <f>D152+G152-H152</f>
        <v>7015.7305785636254</v>
      </c>
      <c r="D154" s="17">
        <f>C154+(C154*0.03)</f>
        <v>7226.2024959205337</v>
      </c>
      <c r="E154" s="17">
        <f>C154/3250</f>
        <v>2.1586863318657308</v>
      </c>
      <c r="F154" s="28">
        <f>(D154-C154)/E154</f>
        <v>97.499999999999801</v>
      </c>
      <c r="G154" s="17"/>
      <c r="H154" s="79"/>
      <c r="I154" s="19">
        <f>E154*50/C154</f>
        <v>1.5384615384615384E-2</v>
      </c>
      <c r="J154" s="85"/>
    </row>
    <row r="155" spans="1:11">
      <c r="A155" s="104"/>
      <c r="B155" s="81">
        <f>B154+7</f>
        <v>43793</v>
      </c>
      <c r="C155" s="20">
        <f>D154+G154-H154</f>
        <v>7226.2024959205337</v>
      </c>
      <c r="D155" s="17">
        <f>C155+(C155*0.03)</f>
        <v>7442.9885707981493</v>
      </c>
      <c r="E155" s="17">
        <f>C155/3250</f>
        <v>2.2234469218217026</v>
      </c>
      <c r="F155" s="28">
        <f>(D155-C155)/E155</f>
        <v>97.499999999999844</v>
      </c>
      <c r="G155" s="17"/>
      <c r="H155" s="79"/>
      <c r="I155" s="19">
        <f>E155*50/C155</f>
        <v>1.5384615384615384E-2</v>
      </c>
      <c r="J155" s="85"/>
    </row>
    <row r="156" spans="1:11">
      <c r="A156" s="104"/>
      <c r="B156" s="81">
        <f>B155+7</f>
        <v>43800</v>
      </c>
      <c r="C156" s="20">
        <f>D155+G155-H155</f>
        <v>7442.9885707981493</v>
      </c>
      <c r="D156" s="17">
        <f>C156+(C156*0.03)</f>
        <v>7666.2782279220937</v>
      </c>
      <c r="E156" s="17">
        <f>C156/3250</f>
        <v>2.2901503294763534</v>
      </c>
      <c r="F156" s="28">
        <f>(D156-C156)/E156</f>
        <v>97.499999999999972</v>
      </c>
      <c r="G156" s="17"/>
      <c r="H156" s="79"/>
      <c r="I156" s="19">
        <f>E156*50/C156</f>
        <v>1.5384615384615384E-2</v>
      </c>
      <c r="J156" s="85"/>
    </row>
    <row r="157" spans="1:11" ht="13" thickBot="1">
      <c r="A157" s="105"/>
      <c r="B157" s="81">
        <f>B156+7</f>
        <v>43807</v>
      </c>
      <c r="C157" s="20">
        <f>D156+G156-H156</f>
        <v>7666.2782279220937</v>
      </c>
      <c r="D157" s="17">
        <f>C157+(C157*0.03)</f>
        <v>7896.2665747597566</v>
      </c>
      <c r="E157" s="17">
        <f>C157/3250</f>
        <v>2.3588548393606441</v>
      </c>
      <c r="F157" s="28">
        <f>(D157-C157)/E157</f>
        <v>97.500000000000043</v>
      </c>
      <c r="G157" s="18"/>
      <c r="H157" s="80"/>
      <c r="I157" s="19">
        <f>E157*50/C157</f>
        <v>1.5384615384615384E-2</v>
      </c>
      <c r="J157" s="85"/>
    </row>
    <row r="158" spans="1:11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6"/>
    </row>
    <row r="159" spans="1:11">
      <c r="A159" s="103">
        <v>32</v>
      </c>
      <c r="B159" s="81">
        <f>B157+7</f>
        <v>43814</v>
      </c>
      <c r="C159" s="20">
        <f>D157+G157-H157</f>
        <v>7896.2665747597566</v>
      </c>
      <c r="D159" s="17">
        <f>C159+(C159*0.03)</f>
        <v>8133.1545720025497</v>
      </c>
      <c r="E159" s="17">
        <f>C159/3250</f>
        <v>2.4296204845414637</v>
      </c>
      <c r="F159" s="28">
        <f>(D159-C159)/E159</f>
        <v>97.500000000000142</v>
      </c>
      <c r="G159" s="18"/>
      <c r="H159" s="18"/>
      <c r="I159" s="19">
        <f>E159*50/C159</f>
        <v>1.5384615384615385E-2</v>
      </c>
      <c r="J159" s="85"/>
    </row>
    <row r="160" spans="1:11">
      <c r="A160" s="104"/>
      <c r="B160" s="81">
        <f>B159+7</f>
        <v>43821</v>
      </c>
      <c r="C160" s="20">
        <f>D159+G159-H159</f>
        <v>8133.1545720025497</v>
      </c>
      <c r="D160" s="17">
        <f>C160+(C160*0.03)</f>
        <v>8377.149209162626</v>
      </c>
      <c r="E160" s="17">
        <f>C160/3250</f>
        <v>2.5025090990777077</v>
      </c>
      <c r="F160" s="28">
        <f>(D160-C160)/E160</f>
        <v>97.499999999999929</v>
      </c>
      <c r="G160" s="18"/>
      <c r="H160" s="18"/>
      <c r="I160" s="19">
        <f>E160*50/C160</f>
        <v>1.5384615384615385E-2</v>
      </c>
      <c r="J160" s="85"/>
    </row>
    <row r="161" spans="1:11">
      <c r="A161" s="104"/>
      <c r="B161" s="81">
        <f>B160+7</f>
        <v>43828</v>
      </c>
      <c r="C161" s="20">
        <f>D160+G160-H160</f>
        <v>8377.149209162626</v>
      </c>
      <c r="D161" s="17">
        <f>C161+(C161*0.03)</f>
        <v>8628.463685437504</v>
      </c>
      <c r="E161" s="17">
        <f>C161/3250</f>
        <v>2.5775843720500387</v>
      </c>
      <c r="F161" s="28">
        <f>(D161-C161)/E161</f>
        <v>97.499999999999687</v>
      </c>
      <c r="G161" s="18"/>
      <c r="H161" s="18"/>
      <c r="I161" s="19">
        <f>E161*50/C161</f>
        <v>1.5384615384615384E-2</v>
      </c>
      <c r="J161" s="85"/>
    </row>
    <row r="162" spans="1:11" ht="13" thickBot="1">
      <c r="A162" s="105"/>
      <c r="B162" s="81">
        <f>B161+7</f>
        <v>43835</v>
      </c>
      <c r="C162" s="20">
        <f>D161+G161-H161</f>
        <v>8628.463685437504</v>
      </c>
      <c r="D162" s="17">
        <f>C162+(C162*0.03)</f>
        <v>8887.3175960006283</v>
      </c>
      <c r="E162" s="17">
        <f>C162/3250</f>
        <v>2.6549119032115396</v>
      </c>
      <c r="F162" s="28">
        <f>(D162-C162)/E162</f>
        <v>97.499999999999716</v>
      </c>
      <c r="G162" s="18"/>
      <c r="H162" s="80"/>
      <c r="I162" s="19">
        <f>E162*50/C162</f>
        <v>1.5384615384615384E-2</v>
      </c>
      <c r="J162" s="85"/>
    </row>
    <row r="163" spans="1:11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6"/>
    </row>
    <row r="164" spans="1:11">
      <c r="A164" s="103">
        <v>33</v>
      </c>
      <c r="B164" s="81">
        <f>B162+7</f>
        <v>43842</v>
      </c>
      <c r="C164" s="20">
        <f>D162+G162-H162</f>
        <v>8887.3175960006283</v>
      </c>
      <c r="D164" s="17">
        <f>C164+(C164*0.03)</f>
        <v>9153.9371238806471</v>
      </c>
      <c r="E164" s="17">
        <f>C164/3250</f>
        <v>2.7345592603078854</v>
      </c>
      <c r="F164" s="28">
        <f>(D164-C164)/E164</f>
        <v>97.499999999999957</v>
      </c>
      <c r="G164" s="18"/>
      <c r="H164" s="18"/>
      <c r="I164" s="19">
        <f>E164*50/C164</f>
        <v>1.5384615384615382E-2</v>
      </c>
      <c r="J164" s="85"/>
    </row>
    <row r="165" spans="1:11">
      <c r="A165" s="104"/>
      <c r="B165" s="81">
        <f>B164+7</f>
        <v>43849</v>
      </c>
      <c r="C165" s="20">
        <f>D164+G164-H164</f>
        <v>9153.9371238806471</v>
      </c>
      <c r="D165" s="17">
        <f>C165+(C165*0.03)</f>
        <v>9428.5552375970656</v>
      </c>
      <c r="E165" s="17">
        <f>C165/3250</f>
        <v>2.816596038117122</v>
      </c>
      <c r="F165" s="28">
        <f>(D165-C165)/E165</f>
        <v>97.499999999999687</v>
      </c>
      <c r="G165" s="18"/>
      <c r="H165" s="18"/>
      <c r="I165" s="19">
        <f>E165*50/C165</f>
        <v>1.5384615384615384E-2</v>
      </c>
      <c r="J165" s="85"/>
    </row>
    <row r="166" spans="1:11">
      <c r="A166" s="104"/>
      <c r="B166" s="81">
        <f>B165+7</f>
        <v>43856</v>
      </c>
      <c r="C166" s="20">
        <f>D165+G165-H165</f>
        <v>9428.5552375970656</v>
      </c>
      <c r="D166" s="17">
        <f>C166+(C166*0.03)</f>
        <v>9711.4118947249772</v>
      </c>
      <c r="E166" s="17">
        <f>C166/3250</f>
        <v>2.9010939192606355</v>
      </c>
      <c r="F166" s="28">
        <f>(D166-C166)/E166</f>
        <v>97.499999999999872</v>
      </c>
      <c r="G166" s="18"/>
      <c r="H166" s="18"/>
      <c r="I166" s="19">
        <f>E166*50/C166</f>
        <v>1.5384615384615384E-2</v>
      </c>
      <c r="J166" s="85"/>
    </row>
    <row r="167" spans="1:11" ht="13.5" thickBot="1">
      <c r="A167" s="105"/>
      <c r="B167" s="81">
        <f>B166+7</f>
        <v>43863</v>
      </c>
      <c r="C167" s="20">
        <f>D166+G166-H166</f>
        <v>9711.4118947249772</v>
      </c>
      <c r="D167" s="17">
        <f>C167+(C167*0.03)</f>
        <v>10002.754251566726</v>
      </c>
      <c r="E167" s="17">
        <f>C167/3250</f>
        <v>2.9881267368384545</v>
      </c>
      <c r="F167" s="28">
        <f>(D167-C167)/E167</f>
        <v>97.499999999999986</v>
      </c>
      <c r="G167" s="18"/>
      <c r="H167" s="80">
        <f>(D167-C154)*0.35</f>
        <v>1045.4582855510853</v>
      </c>
      <c r="I167" s="19">
        <f>E167*50/C167</f>
        <v>1.5384615384615384E-2</v>
      </c>
      <c r="J167" s="85"/>
      <c r="K167" s="102" t="s">
        <v>49</v>
      </c>
    </row>
    <row r="168" spans="1:11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6"/>
    </row>
    <row r="169" spans="1:11">
      <c r="A169" s="103">
        <v>34</v>
      </c>
      <c r="B169" s="81">
        <f>B167+7</f>
        <v>43870</v>
      </c>
      <c r="C169" s="20">
        <f>D167+G167-H167</f>
        <v>8957.2959660156412</v>
      </c>
      <c r="D169" s="17">
        <f>C169+(C169*0.03)</f>
        <v>9226.0148449961107</v>
      </c>
      <c r="E169" s="17">
        <f>C169/3250</f>
        <v>2.7560910664663512</v>
      </c>
      <c r="F169" s="28">
        <f>(D169-C169)/E169</f>
        <v>97.500000000000099</v>
      </c>
      <c r="G169" s="18"/>
      <c r="H169" s="18"/>
      <c r="I169" s="19">
        <f>E169*50/C169</f>
        <v>1.5384615384615384E-2</v>
      </c>
      <c r="J169" s="85"/>
    </row>
    <row r="170" spans="1:11">
      <c r="A170" s="104"/>
      <c r="B170" s="81">
        <f>B169+7</f>
        <v>43877</v>
      </c>
      <c r="C170" s="20">
        <f>D169+G169-H169</f>
        <v>9226.0148449961107</v>
      </c>
      <c r="D170" s="17">
        <f>C170+(C170*0.03)</f>
        <v>9502.7952903459936</v>
      </c>
      <c r="E170" s="17">
        <f>C170/3250</f>
        <v>2.8387737984603416</v>
      </c>
      <c r="F170" s="28">
        <f>(D170-C170)/E170</f>
        <v>97.499999999999872</v>
      </c>
      <c r="G170" s="18"/>
      <c r="H170" s="18"/>
      <c r="I170" s="19">
        <f>E170*50/C170</f>
        <v>1.5384615384615384E-2</v>
      </c>
      <c r="J170" s="85"/>
    </row>
    <row r="171" spans="1:11">
      <c r="A171" s="104"/>
      <c r="B171" s="81">
        <f>B170+7</f>
        <v>43884</v>
      </c>
      <c r="C171" s="20">
        <f>D170+G170-H170</f>
        <v>9502.7952903459936</v>
      </c>
      <c r="D171" s="17">
        <f>C171+(C171*0.03)</f>
        <v>9787.8791490563726</v>
      </c>
      <c r="E171" s="17">
        <f>C171/3250</f>
        <v>2.9239370124141519</v>
      </c>
      <c r="F171" s="28">
        <f>(D171-C171)/E171</f>
        <v>97.499999999999716</v>
      </c>
      <c r="G171" s="18"/>
      <c r="H171" s="18"/>
      <c r="I171" s="19">
        <f>E171*50/C171</f>
        <v>1.5384615384615385E-2</v>
      </c>
      <c r="J171" s="85"/>
    </row>
    <row r="172" spans="1:11" ht="13" thickBot="1">
      <c r="A172" s="105"/>
      <c r="B172" s="81">
        <f>B171+7</f>
        <v>43891</v>
      </c>
      <c r="C172" s="20">
        <f>D171+G171-H171</f>
        <v>9787.8791490563726</v>
      </c>
      <c r="D172" s="17">
        <f>C172+(C172*0.03)</f>
        <v>10081.515523528064</v>
      </c>
      <c r="E172" s="17">
        <f>C172/3250</f>
        <v>3.0116551227865762</v>
      </c>
      <c r="F172" s="28">
        <f>(D172-C172)/E172</f>
        <v>97.499999999999915</v>
      </c>
      <c r="G172" s="18"/>
      <c r="H172" s="80"/>
      <c r="I172" s="19">
        <f>E172*50/C172</f>
        <v>1.5384615384615384E-2</v>
      </c>
      <c r="J172" s="85"/>
    </row>
    <row r="173" spans="1:11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6"/>
    </row>
    <row r="174" spans="1:11">
      <c r="A174" s="103">
        <v>35</v>
      </c>
      <c r="B174" s="81">
        <f>B172+7</f>
        <v>43898</v>
      </c>
      <c r="C174" s="20">
        <f>D172+G172-H172</f>
        <v>10081.515523528064</v>
      </c>
      <c r="D174" s="17">
        <f>C174+(C174*0.03)</f>
        <v>10383.960989233905</v>
      </c>
      <c r="E174" s="17">
        <f>C174/3250</f>
        <v>3.1020047764701735</v>
      </c>
      <c r="F174" s="28">
        <f>(D174-C174)/E174</f>
        <v>97.499999999999815</v>
      </c>
      <c r="G174" s="18"/>
      <c r="H174" s="18"/>
      <c r="I174" s="19">
        <f>E174*50/C174</f>
        <v>1.5384615384615385E-2</v>
      </c>
      <c r="J174" s="85"/>
    </row>
    <row r="175" spans="1:11">
      <c r="A175" s="104"/>
      <c r="B175" s="81">
        <f>B174+7</f>
        <v>43905</v>
      </c>
      <c r="C175" s="20">
        <f>D174+G174-H174</f>
        <v>10383.960989233905</v>
      </c>
      <c r="D175" s="17">
        <f>C175+(C175*0.03)</f>
        <v>10695.479818910922</v>
      </c>
      <c r="E175" s="17">
        <f>C175/3250</f>
        <v>3.1950649197642784</v>
      </c>
      <c r="F175" s="28">
        <f>(D175-C175)/E175</f>
        <v>97.500000000000114</v>
      </c>
      <c r="G175" s="18"/>
      <c r="H175" s="18"/>
      <c r="I175" s="19">
        <f>E175*50/C175</f>
        <v>1.5384615384615385E-2</v>
      </c>
      <c r="J175" s="85"/>
    </row>
    <row r="176" spans="1:11">
      <c r="A176" s="104"/>
      <c r="B176" s="81">
        <f>B175+7</f>
        <v>43912</v>
      </c>
      <c r="C176" s="20">
        <f>D175+G175-H175</f>
        <v>10695.479818910922</v>
      </c>
      <c r="D176" s="17">
        <f>C176+(C176*0.03)</f>
        <v>11016.344213478251</v>
      </c>
      <c r="E176" s="17">
        <f>C176/3250</f>
        <v>3.2909168673572067</v>
      </c>
      <c r="F176" s="28">
        <f>(D176-C176)/E176</f>
        <v>97.500000000000227</v>
      </c>
      <c r="G176" s="18"/>
      <c r="H176" s="18"/>
      <c r="I176" s="19">
        <f>E176*50/C176</f>
        <v>1.5384615384615384E-2</v>
      </c>
      <c r="J176" s="85"/>
    </row>
    <row r="177" spans="1:11" ht="13.5" thickBot="1">
      <c r="A177" s="105"/>
      <c r="B177" s="81">
        <f>B176+7</f>
        <v>43919</v>
      </c>
      <c r="C177" s="20">
        <f>D176+G176-H176</f>
        <v>11016.344213478251</v>
      </c>
      <c r="D177" s="17">
        <f>C177+(C177*0.03)</f>
        <v>11346.834539882599</v>
      </c>
      <c r="E177" s="17">
        <f>C177/3250</f>
        <v>3.3896443733779233</v>
      </c>
      <c r="F177" s="28">
        <f>(D177-C177)/E177</f>
        <v>97.500000000000085</v>
      </c>
      <c r="G177" s="18"/>
      <c r="H177" s="80">
        <f>(D177-C169)*0.35</f>
        <v>836.33850085343511</v>
      </c>
      <c r="I177" s="19">
        <f>E177*50/C177</f>
        <v>1.5384615384615385E-2</v>
      </c>
      <c r="J177" s="85"/>
      <c r="K177" s="102" t="s">
        <v>49</v>
      </c>
    </row>
    <row r="178" spans="1:11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6"/>
    </row>
  </sheetData>
  <mergeCells count="36">
    <mergeCell ref="A169:A172"/>
    <mergeCell ref="A174:A177"/>
    <mergeCell ref="A154:A157"/>
    <mergeCell ref="A159:A162"/>
    <mergeCell ref="A164:A167"/>
    <mergeCell ref="A139:A142"/>
    <mergeCell ref="A144:A147"/>
    <mergeCell ref="A149:A152"/>
    <mergeCell ref="A124:A127"/>
    <mergeCell ref="A129:A132"/>
    <mergeCell ref="A134:A137"/>
    <mergeCell ref="A109:A112"/>
    <mergeCell ref="A114:A117"/>
    <mergeCell ref="A119:A122"/>
    <mergeCell ref="A94:A97"/>
    <mergeCell ref="A99:A102"/>
    <mergeCell ref="A104:A107"/>
    <mergeCell ref="A79:A82"/>
    <mergeCell ref="A84:A87"/>
    <mergeCell ref="A89:A92"/>
    <mergeCell ref="A64:A67"/>
    <mergeCell ref="A69:A72"/>
    <mergeCell ref="A74:A77"/>
    <mergeCell ref="A49:A52"/>
    <mergeCell ref="A54:A57"/>
    <mergeCell ref="A59:A62"/>
    <mergeCell ref="A34:A37"/>
    <mergeCell ref="A39:A42"/>
    <mergeCell ref="A44:A47"/>
    <mergeCell ref="A19:A22"/>
    <mergeCell ref="A24:A27"/>
    <mergeCell ref="A29:A32"/>
    <mergeCell ref="A14:A17"/>
    <mergeCell ref="B1:J1"/>
    <mergeCell ref="A4:A7"/>
    <mergeCell ref="A9:A1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K178"/>
  <sheetViews>
    <sheetView topLeftCell="A21" workbookViewId="0">
      <selection activeCell="C44" sqref="C44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1" width="61.6328125" style="75" bestFit="1" customWidth="1"/>
    <col min="12" max="16384" width="9.1796875" style="75"/>
  </cols>
  <sheetData>
    <row r="1" spans="1:10" ht="13.5" thickBot="1">
      <c r="B1" s="106"/>
      <c r="C1" s="107"/>
      <c r="D1" s="107"/>
      <c r="E1" s="107"/>
      <c r="F1" s="107"/>
      <c r="G1" s="107"/>
      <c r="H1" s="107"/>
      <c r="I1" s="107"/>
      <c r="J1" s="107"/>
    </row>
    <row r="2" spans="1:10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0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0">
      <c r="A4" s="103">
        <v>1</v>
      </c>
      <c r="B4" s="81">
        <v>42904</v>
      </c>
      <c r="C4" s="20">
        <v>200</v>
      </c>
      <c r="D4" s="17">
        <f>C4+(C4*0)</f>
        <v>200</v>
      </c>
      <c r="E4" s="17">
        <f>C4/3250</f>
        <v>6.1538461538461542E-2</v>
      </c>
      <c r="F4" s="34">
        <f>(D4-C4)/E4</f>
        <v>0</v>
      </c>
      <c r="G4" s="18"/>
      <c r="H4" s="18"/>
      <c r="I4" s="19">
        <f>E4*50/C4</f>
        <v>1.5384615384615385E-2</v>
      </c>
      <c r="J4" s="87">
        <f>(D4-C4)/C4</f>
        <v>0</v>
      </c>
    </row>
    <row r="5" spans="1:10">
      <c r="A5" s="104"/>
      <c r="B5" s="81">
        <f>B4+7</f>
        <v>42911</v>
      </c>
      <c r="C5" s="20">
        <f>D4+G4-H4</f>
        <v>200</v>
      </c>
      <c r="D5" s="17">
        <f>C5+(C5*0.015)</f>
        <v>203</v>
      </c>
      <c r="E5" s="17">
        <f>C5/3250</f>
        <v>6.1538461538461542E-2</v>
      </c>
      <c r="F5" s="34">
        <f>(D5-C5)/E5</f>
        <v>48.75</v>
      </c>
      <c r="G5" s="18"/>
      <c r="H5" s="18"/>
      <c r="I5" s="19">
        <f>E5*50/C5</f>
        <v>1.5384615384615385E-2</v>
      </c>
      <c r="J5" s="87">
        <f>(D5-C4)/C4</f>
        <v>1.4999999999999999E-2</v>
      </c>
    </row>
    <row r="6" spans="1:10">
      <c r="A6" s="104"/>
      <c r="B6" s="81">
        <f>B5+7</f>
        <v>42918</v>
      </c>
      <c r="C6" s="20">
        <f>D5+G5-H5</f>
        <v>203</v>
      </c>
      <c r="D6" s="17">
        <f>C6+(C6*0.054)</f>
        <v>213.96199999999999</v>
      </c>
      <c r="E6" s="17">
        <f>C6/3250</f>
        <v>6.2461538461538464E-2</v>
      </c>
      <c r="F6" s="34">
        <f>(D6-C6)/E6</f>
        <v>175.49999999999983</v>
      </c>
      <c r="G6" s="18"/>
      <c r="H6" s="18"/>
      <c r="I6" s="19">
        <f>E6*50/C6</f>
        <v>1.5384615384615385E-2</v>
      </c>
      <c r="J6" s="87">
        <f>(D6-$C4)/$C4</f>
        <v>6.9809999999999942E-2</v>
      </c>
    </row>
    <row r="7" spans="1:10" ht="13" thickBot="1">
      <c r="A7" s="105"/>
      <c r="B7" s="81">
        <f>B6+7</f>
        <v>42925</v>
      </c>
      <c r="C7" s="20">
        <f>D6+G6-H6</f>
        <v>213.96199999999999</v>
      </c>
      <c r="D7" s="17">
        <f>C7+(C7*0.0483)</f>
        <v>224.2963646</v>
      </c>
      <c r="E7" s="17">
        <f>C7/3250</f>
        <v>6.5834461538461536E-2</v>
      </c>
      <c r="F7" s="34">
        <f>(D7-C7)/E7</f>
        <v>156.97500000000022</v>
      </c>
      <c r="G7" s="18"/>
      <c r="H7" s="18"/>
      <c r="I7" s="19">
        <f>E7*50/C7</f>
        <v>1.5384615384615385E-2</v>
      </c>
      <c r="J7" s="87">
        <f>(D7-$C4)/$C4</f>
        <v>0.12148182300000002</v>
      </c>
    </row>
    <row r="8" spans="1:10" ht="13" thickBot="1">
      <c r="A8" s="78"/>
      <c r="B8" s="13"/>
      <c r="C8" s="22"/>
      <c r="D8" s="23"/>
      <c r="E8" s="23"/>
      <c r="F8" s="27"/>
      <c r="G8" s="23"/>
      <c r="H8" s="10"/>
      <c r="I8" s="24"/>
      <c r="J8" s="91"/>
    </row>
    <row r="9" spans="1:10">
      <c r="A9" s="103">
        <v>2</v>
      </c>
      <c r="B9" s="81">
        <f>B7+7</f>
        <v>42932</v>
      </c>
      <c r="C9" s="20">
        <f>D7+G7-H7</f>
        <v>224.2963646</v>
      </c>
      <c r="D9" s="99">
        <f>C9+(C9*-0.074)</f>
        <v>207.6984336196</v>
      </c>
      <c r="E9" s="17">
        <f>C9/3250</f>
        <v>6.9014266030769225E-2</v>
      </c>
      <c r="F9" s="95">
        <f>(D9-C9)/E9</f>
        <v>-240.50000000000014</v>
      </c>
      <c r="G9" s="18"/>
      <c r="H9" s="18"/>
      <c r="I9" s="19">
        <f>E9*50/C9</f>
        <v>1.5384615384615384E-2</v>
      </c>
      <c r="J9" s="87">
        <f>(D9-$C4)/$C4</f>
        <v>3.8492168097999976E-2</v>
      </c>
    </row>
    <row r="10" spans="1:10">
      <c r="A10" s="104"/>
      <c r="B10" s="81">
        <f>B9+7</f>
        <v>42939</v>
      </c>
      <c r="C10" s="20">
        <f>D9+G9-H9</f>
        <v>207.6984336196</v>
      </c>
      <c r="D10" s="17">
        <f>C10+(C10*0.0427)</f>
        <v>216.56715673515691</v>
      </c>
      <c r="E10" s="17">
        <f>C10/3250</f>
        <v>6.3907210344492302E-2</v>
      </c>
      <c r="F10" s="34">
        <f>(D10-C10)/E10</f>
        <v>138.77499999999998</v>
      </c>
      <c r="G10" s="18"/>
      <c r="H10" s="18"/>
      <c r="I10" s="19">
        <f>E10*50/C10</f>
        <v>1.5384615384615384E-2</v>
      </c>
      <c r="J10" s="87">
        <f>(D10-$C4)/$C4</f>
        <v>8.2835783675784563E-2</v>
      </c>
    </row>
    <row r="11" spans="1:10">
      <c r="A11" s="104"/>
      <c r="B11" s="81">
        <f>B10+7</f>
        <v>42946</v>
      </c>
      <c r="C11" s="20">
        <f>D10+G10-H10</f>
        <v>216.56715673515691</v>
      </c>
      <c r="D11" s="17">
        <f>C11+(C11*-0.0045)</f>
        <v>215.5926045298487</v>
      </c>
      <c r="E11" s="17">
        <f>C11/3250</f>
        <v>6.663604822620213E-2</v>
      </c>
      <c r="F11" s="37">
        <f>(D11-C11)/E11</f>
        <v>-14.625000000000119</v>
      </c>
      <c r="G11" s="18"/>
      <c r="H11" s="18"/>
      <c r="I11" s="19">
        <f>E11*50/C11</f>
        <v>1.5384615384615385E-2</v>
      </c>
      <c r="J11" s="87">
        <f>(D11-$C4)/$C4</f>
        <v>7.7963022649243499E-2</v>
      </c>
    </row>
    <row r="12" spans="1:10" ht="13" thickBot="1">
      <c r="A12" s="105"/>
      <c r="B12" s="81">
        <f>B11+7</f>
        <v>42953</v>
      </c>
      <c r="C12" s="20">
        <f>D11+G11-H11</f>
        <v>215.5926045298487</v>
      </c>
      <c r="D12" s="17">
        <f>C12+(C12*-0.0326)</f>
        <v>208.56428562217565</v>
      </c>
      <c r="E12" s="17">
        <f>C12/3250</f>
        <v>6.6336186009184214E-2</v>
      </c>
      <c r="F12" s="37">
        <f>(D12-C12)/E12</f>
        <v>-105.94999999999979</v>
      </c>
      <c r="G12" s="18"/>
      <c r="H12" s="18"/>
      <c r="I12" s="19">
        <f>E12*50/C12</f>
        <v>1.5384615384615384E-2</v>
      </c>
      <c r="J12" s="87">
        <f>(D12-$C4)/$C4</f>
        <v>4.2821428110878232E-2</v>
      </c>
    </row>
    <row r="13" spans="1:10" ht="13" thickBot="1">
      <c r="A13" s="78"/>
      <c r="B13" s="13"/>
      <c r="C13" s="22"/>
      <c r="D13" s="23"/>
      <c r="E13" s="23"/>
      <c r="F13" s="27"/>
      <c r="G13" s="23"/>
      <c r="H13" s="10"/>
      <c r="I13" s="24"/>
      <c r="J13" s="91"/>
    </row>
    <row r="14" spans="1:10">
      <c r="A14" s="103">
        <v>3</v>
      </c>
      <c r="B14" s="81">
        <f>B12+7</f>
        <v>42960</v>
      </c>
      <c r="C14" s="20">
        <f>D12+G12-H12</f>
        <v>208.56428562217565</v>
      </c>
      <c r="D14" s="17">
        <f>C14+(C14*-0.02)</f>
        <v>204.39299990973214</v>
      </c>
      <c r="E14" s="17">
        <f>C14/3250</f>
        <v>6.4173626345284812E-2</v>
      </c>
      <c r="F14" s="37">
        <f>(D14-C14)/E14</f>
        <v>-64.999999999999901</v>
      </c>
      <c r="G14" s="18"/>
      <c r="H14" s="18"/>
      <c r="I14" s="19">
        <f>E14*50/C14</f>
        <v>1.5384615384615384E-2</v>
      </c>
      <c r="J14" s="87">
        <f>(D14-$C4)/$C4</f>
        <v>2.1964999548660699E-2</v>
      </c>
    </row>
    <row r="15" spans="1:10">
      <c r="A15" s="104"/>
      <c r="B15" s="81">
        <f>B14+7</f>
        <v>42967</v>
      </c>
      <c r="C15" s="20">
        <f>D14+G14-H14</f>
        <v>204.39299990973214</v>
      </c>
      <c r="D15" s="17">
        <f>C15+(C15*0.0596)</f>
        <v>216.57482270435219</v>
      </c>
      <c r="E15" s="17">
        <f>C15/3250</f>
        <v>6.2890153818379119E-2</v>
      </c>
      <c r="F15" s="34">
        <f>(D15-C15)/E15</f>
        <v>193.70000000000019</v>
      </c>
      <c r="G15" s="18"/>
      <c r="H15" s="18"/>
      <c r="I15" s="19">
        <f>E15*50/C15</f>
        <v>1.5384615384615384E-2</v>
      </c>
      <c r="J15" s="87">
        <f>(D15-$C4)/$C4</f>
        <v>8.2874113521760939E-2</v>
      </c>
    </row>
    <row r="16" spans="1:10">
      <c r="A16" s="104"/>
      <c r="B16" s="81">
        <f>B15+7</f>
        <v>42974</v>
      </c>
      <c r="C16" s="20">
        <f>D15+G15-H15</f>
        <v>216.57482270435219</v>
      </c>
      <c r="D16" s="99">
        <f>C16+(C16*-0.0884)</f>
        <v>197.42960837728745</v>
      </c>
      <c r="E16" s="17">
        <f>C16/3250</f>
        <v>6.6638406985954524E-2</v>
      </c>
      <c r="F16" s="95">
        <f>(D16-C16)/E16</f>
        <v>-287.3</v>
      </c>
      <c r="G16" s="18"/>
      <c r="H16" s="18"/>
      <c r="I16" s="19">
        <f>E16*50/C16</f>
        <v>1.5384615384615385E-2</v>
      </c>
      <c r="J16" s="90">
        <f>(D16-$C4)/$C4</f>
        <v>-1.2851958113562744E-2</v>
      </c>
    </row>
    <row r="17" spans="1:11" ht="13.5" thickBot="1">
      <c r="A17" s="105"/>
      <c r="B17" s="81">
        <f>B16+7</f>
        <v>42981</v>
      </c>
      <c r="C17" s="20">
        <f>D16+G16-H16</f>
        <v>197.42960837728745</v>
      </c>
      <c r="D17" s="99">
        <f>C17+(C17*-0.0583)</f>
        <v>185.91946220889159</v>
      </c>
      <c r="E17" s="17">
        <f>C17/5500</f>
        <v>3.5896292432234085E-2</v>
      </c>
      <c r="F17" s="95">
        <f>(D17-C17)/E17</f>
        <v>-320.65000000000009</v>
      </c>
      <c r="G17" s="18"/>
      <c r="H17" s="80">
        <f>(D17-C4)*0.3</f>
        <v>-4.2241613373325233</v>
      </c>
      <c r="I17" s="19">
        <f>E17*50/C17</f>
        <v>9.0909090909090922E-3</v>
      </c>
      <c r="J17" s="90">
        <f>(D17-C19)/$C4</f>
        <v>-2.112080668666266E-2</v>
      </c>
      <c r="K17" s="102" t="s">
        <v>48</v>
      </c>
    </row>
    <row r="18" spans="1:11" ht="13" thickBot="1">
      <c r="A18" s="78"/>
      <c r="B18" s="13"/>
      <c r="C18" s="22"/>
      <c r="D18" s="23"/>
      <c r="E18" s="23"/>
      <c r="F18" s="27"/>
      <c r="G18" s="23"/>
      <c r="H18" s="10"/>
      <c r="I18" s="24"/>
      <c r="J18" s="91"/>
    </row>
    <row r="19" spans="1:11">
      <c r="A19" s="103">
        <v>4</v>
      </c>
      <c r="B19" s="81">
        <f>B17+7</f>
        <v>42988</v>
      </c>
      <c r="C19" s="20">
        <f>D17+G17-H17</f>
        <v>190.14362354622412</v>
      </c>
      <c r="D19" s="21">
        <f>C19+(C19*0.1119)</f>
        <v>211.42069502104658</v>
      </c>
      <c r="E19" s="17">
        <f>C19/5500</f>
        <v>3.4571567917495293E-2</v>
      </c>
      <c r="F19" s="34">
        <f>(D19-C19)/E19</f>
        <v>615.44999999999959</v>
      </c>
      <c r="G19" s="18"/>
      <c r="H19" s="18"/>
      <c r="I19" s="19">
        <f>E19*50/C19</f>
        <v>9.0909090909090905E-3</v>
      </c>
      <c r="J19" s="87">
        <f>(D19-$C4)/$C4</f>
        <v>5.710347510523292E-2</v>
      </c>
    </row>
    <row r="20" spans="1:11">
      <c r="A20" s="104"/>
      <c r="B20" s="81">
        <f>B19+7</f>
        <v>42995</v>
      </c>
      <c r="C20" s="20">
        <f>D19+G19-H19</f>
        <v>211.42069502104658</v>
      </c>
      <c r="D20" s="99">
        <f>C20+(C20*-0.073)</f>
        <v>195.98698428451019</v>
      </c>
      <c r="E20" s="17">
        <f>C20/5500</f>
        <v>3.8440126367463016E-2</v>
      </c>
      <c r="F20" s="95">
        <f>(D20-C20)/E20</f>
        <v>-401.49999999999989</v>
      </c>
      <c r="G20" s="18"/>
      <c r="H20" s="18"/>
      <c r="I20" s="19">
        <f>E20*50/C20</f>
        <v>9.0909090909090905E-3</v>
      </c>
      <c r="J20" s="90">
        <f>(D20-$C4)/$C4</f>
        <v>-2.0065078577449071E-2</v>
      </c>
    </row>
    <row r="21" spans="1:11">
      <c r="A21" s="104"/>
      <c r="B21" s="81">
        <f>B20+7</f>
        <v>43002</v>
      </c>
      <c r="C21" s="20">
        <f>D20+G20-H20</f>
        <v>195.98698428451019</v>
      </c>
      <c r="D21" s="17">
        <f>C21+(C21*-0.0103)</f>
        <v>193.96831834637973</v>
      </c>
      <c r="E21" s="17">
        <f>C21/5500</f>
        <v>3.5633997142638214E-2</v>
      </c>
      <c r="F21" s="37">
        <f>(D21-C21)/E21</f>
        <v>-56.64999999999997</v>
      </c>
      <c r="G21" s="18"/>
      <c r="H21" s="18"/>
      <c r="I21" s="19">
        <f>E21*50/C21</f>
        <v>9.0909090909090905E-3</v>
      </c>
      <c r="J21" s="90">
        <f>(D21-$C4)/$C4</f>
        <v>-3.0158408268101341E-2</v>
      </c>
    </row>
    <row r="22" spans="1:11" ht="13" thickBot="1">
      <c r="A22" s="105"/>
      <c r="B22" s="81">
        <f>B21+7</f>
        <v>43009</v>
      </c>
      <c r="C22" s="20">
        <f>D21+G21-H21</f>
        <v>193.96831834637973</v>
      </c>
      <c r="D22" s="99">
        <f>C22+(C22*-0.0544)</f>
        <v>183.41644182833667</v>
      </c>
      <c r="E22" s="17">
        <f>C22/5500</f>
        <v>3.526696697206904E-2</v>
      </c>
      <c r="F22" s="95">
        <f>(D22-C22)/E22</f>
        <v>-299.20000000000005</v>
      </c>
      <c r="G22" s="18"/>
      <c r="H22" s="18"/>
      <c r="I22" s="19">
        <f>E22*50/C22</f>
        <v>9.0909090909090905E-3</v>
      </c>
      <c r="J22" s="90">
        <f>(D22-$C4)/$C4</f>
        <v>-8.2917790858316631E-2</v>
      </c>
    </row>
    <row r="23" spans="1:11" ht="13" thickBot="1">
      <c r="A23" s="78"/>
      <c r="B23" s="13"/>
      <c r="C23" s="22"/>
      <c r="D23" s="23"/>
      <c r="E23" s="23"/>
      <c r="F23" s="27"/>
      <c r="G23" s="23"/>
      <c r="H23" s="10"/>
      <c r="I23" s="24"/>
      <c r="J23" s="86"/>
    </row>
    <row r="24" spans="1:11">
      <c r="A24" s="103">
        <v>5</v>
      </c>
      <c r="B24" s="81">
        <f>B22+7</f>
        <v>43016</v>
      </c>
      <c r="C24" s="20">
        <f>D22+G22-H22</f>
        <v>183.41644182833667</v>
      </c>
      <c r="D24" s="17">
        <f>C24+(C24*-0.0579)</f>
        <v>172.79662984647598</v>
      </c>
      <c r="E24" s="17">
        <f>C24/3000</f>
        <v>6.113881394277889E-2</v>
      </c>
      <c r="F24" s="37">
        <f>(D24-C24)/E24</f>
        <v>-173.7</v>
      </c>
      <c r="G24" s="18"/>
      <c r="H24" s="18"/>
      <c r="I24" s="19">
        <f>E24*50/C24</f>
        <v>1.6666666666666666E-2</v>
      </c>
      <c r="J24" s="90">
        <f>(D24-$C4)/$C4</f>
        <v>-0.1360168507676201</v>
      </c>
    </row>
    <row r="25" spans="1:11">
      <c r="A25" s="104"/>
      <c r="B25" s="81">
        <f>B24+7</f>
        <v>43023</v>
      </c>
      <c r="C25" s="20">
        <f>D24+G24-H24</f>
        <v>172.79662984647598</v>
      </c>
      <c r="D25" s="21">
        <f>C25+(C25*0.0774)</f>
        <v>186.17108899659323</v>
      </c>
      <c r="E25" s="17">
        <f>C25/3000</f>
        <v>5.7598876615491991E-2</v>
      </c>
      <c r="F25" s="34">
        <f>(D25-C25)/E25</f>
        <v>232.2000000000001</v>
      </c>
      <c r="G25" s="18"/>
      <c r="H25" s="18"/>
      <c r="I25" s="19">
        <f>E25*50/C25</f>
        <v>1.6666666666666666E-2</v>
      </c>
      <c r="J25" s="90">
        <f>(D25-$C4)/$C4</f>
        <v>-6.9144555017033871E-2</v>
      </c>
    </row>
    <row r="26" spans="1:11">
      <c r="A26" s="104"/>
      <c r="B26" s="81">
        <f>B25+7</f>
        <v>43030</v>
      </c>
      <c r="C26" s="20">
        <f>D25+G25-H25</f>
        <v>186.17108899659323</v>
      </c>
      <c r="D26" s="21">
        <f>C26+(C26*0.0717)</f>
        <v>199.51955607764896</v>
      </c>
      <c r="E26" s="17">
        <f>C26/3000</f>
        <v>6.2057029665531074E-2</v>
      </c>
      <c r="F26" s="34">
        <f>(D26-C26)/E26</f>
        <v>215.09999999999994</v>
      </c>
      <c r="G26" s="18"/>
      <c r="H26" s="18"/>
      <c r="I26" s="19">
        <f>E26*50/C26</f>
        <v>1.6666666666666666E-2</v>
      </c>
      <c r="J26" s="90">
        <f>(D26-$C4)/$C4</f>
        <v>-2.4022196117552143E-3</v>
      </c>
    </row>
    <row r="27" spans="1:11" ht="13" thickBot="1">
      <c r="A27" s="105"/>
      <c r="B27" s="81">
        <f>B26+7</f>
        <v>43037</v>
      </c>
      <c r="C27" s="20">
        <f>D26+G26-H26</f>
        <v>199.51955607764896</v>
      </c>
      <c r="D27" s="21">
        <f>C27+(C27*0.09)</f>
        <v>217.47631612463738</v>
      </c>
      <c r="E27" s="17">
        <f>C27/3000</f>
        <v>6.6506518692549657E-2</v>
      </c>
      <c r="F27" s="34">
        <f>(D27-C27)/E27</f>
        <v>270.00000000000023</v>
      </c>
      <c r="G27" s="18"/>
      <c r="H27" s="18"/>
      <c r="I27" s="19">
        <f>E27*50/C27</f>
        <v>1.6666666666666666E-2</v>
      </c>
      <c r="J27" s="87">
        <f>(D27-$C4)/$C4</f>
        <v>8.7381580623186891E-2</v>
      </c>
    </row>
    <row r="28" spans="1:11" ht="13" thickBot="1">
      <c r="A28" s="78"/>
      <c r="B28" s="13"/>
      <c r="C28" s="22"/>
      <c r="D28" s="100"/>
      <c r="E28" s="23"/>
      <c r="F28" s="27"/>
      <c r="G28" s="23"/>
      <c r="H28" s="10"/>
      <c r="I28" s="24"/>
      <c r="J28" s="86"/>
    </row>
    <row r="29" spans="1:11">
      <c r="A29" s="103">
        <v>6</v>
      </c>
      <c r="B29" s="81">
        <f>B27+7</f>
        <v>43044</v>
      </c>
      <c r="C29" s="20">
        <f>D27+G27-H27</f>
        <v>217.47631612463738</v>
      </c>
      <c r="D29" s="17">
        <f>C29+(C29*-0.0353)</f>
        <v>209.79940216543767</v>
      </c>
      <c r="E29" s="17">
        <f>C29/3000</f>
        <v>7.2492105374879129E-2</v>
      </c>
      <c r="F29" s="37">
        <f>(D29-C29)/E29</f>
        <v>-105.90000000000012</v>
      </c>
      <c r="G29" s="18"/>
      <c r="H29" s="18"/>
      <c r="I29" s="19">
        <f>E29*50/C29</f>
        <v>1.6666666666666666E-2</v>
      </c>
      <c r="J29" s="87">
        <f>(D29-$C4)/$C4</f>
        <v>4.8997010827188346E-2</v>
      </c>
    </row>
    <row r="30" spans="1:11">
      <c r="A30" s="104"/>
      <c r="B30" s="81">
        <f>B29+7</f>
        <v>43051</v>
      </c>
      <c r="C30" s="20">
        <f>D29+G29-H29</f>
        <v>209.79940216543767</v>
      </c>
      <c r="D30" s="99">
        <f>C30+(C30*-0.1562)</f>
        <v>177.02873554719631</v>
      </c>
      <c r="E30" s="17">
        <f>C30/3000</f>
        <v>6.9933134055145896E-2</v>
      </c>
      <c r="F30" s="95">
        <f>(D30-C30)/E30</f>
        <v>-468.59999999999997</v>
      </c>
      <c r="G30" s="18"/>
      <c r="H30" s="18"/>
      <c r="I30" s="19">
        <f>E30*50/C30</f>
        <v>1.6666666666666666E-2</v>
      </c>
      <c r="J30" s="90">
        <f>(D30-$C4)/$C4</f>
        <v>-0.11485632226401847</v>
      </c>
    </row>
    <row r="31" spans="1:11">
      <c r="A31" s="104"/>
      <c r="B31" s="81">
        <f>B30+7</f>
        <v>43058</v>
      </c>
      <c r="C31" s="20">
        <f>D30+G30-H30</f>
        <v>177.02873554719631</v>
      </c>
      <c r="D31" s="21">
        <f>C31+(C31*0.081)</f>
        <v>191.36806312651922</v>
      </c>
      <c r="E31" s="17">
        <f>C31/2500</f>
        <v>7.0811494218878529E-2</v>
      </c>
      <c r="F31" s="34">
        <f>(D31-C31)/E31</f>
        <v>202.50000000000014</v>
      </c>
      <c r="G31" s="18"/>
      <c r="H31" s="18"/>
      <c r="I31" s="19">
        <f>E31*50/C31</f>
        <v>0.02</v>
      </c>
      <c r="J31" s="90">
        <f>(D31-$C4)/$C4</f>
        <v>-4.315968436740391E-2</v>
      </c>
    </row>
    <row r="32" spans="1:11" ht="13.5" thickBot="1">
      <c r="A32" s="105"/>
      <c r="B32" s="81">
        <f>B31+7</f>
        <v>43065</v>
      </c>
      <c r="C32" s="20">
        <f>D31+G31-H31</f>
        <v>191.36806312651922</v>
      </c>
      <c r="D32" s="17">
        <f>C32+(C32*-0.0343)</f>
        <v>184.80413856127961</v>
      </c>
      <c r="E32" s="17">
        <f>C32/2500</f>
        <v>7.6547225250607684E-2</v>
      </c>
      <c r="F32" s="37">
        <f>(D32-C32)/E32</f>
        <v>-85.749999999999915</v>
      </c>
      <c r="G32" s="18"/>
      <c r="H32" s="80">
        <f>(D32-C19)*0.35</f>
        <v>-1.8688197447305768</v>
      </c>
      <c r="I32" s="19">
        <f>E32*50/C32</f>
        <v>0.02</v>
      </c>
      <c r="J32" s="90">
        <f>(C34-$C4)/$C4</f>
        <v>-6.6635208469948998E-2</v>
      </c>
      <c r="K32" s="102" t="s">
        <v>49</v>
      </c>
    </row>
    <row r="33" spans="1:11" ht="13" thickBot="1">
      <c r="A33" s="78"/>
      <c r="B33" s="13"/>
      <c r="C33" s="22"/>
      <c r="D33" s="23"/>
      <c r="E33" s="23"/>
      <c r="F33" s="27"/>
      <c r="G33" s="23"/>
      <c r="H33" s="10"/>
      <c r="I33" s="24"/>
      <c r="J33" s="86"/>
    </row>
    <row r="34" spans="1:11">
      <c r="A34" s="103">
        <v>7</v>
      </c>
      <c r="B34" s="81">
        <f>B32+7</f>
        <v>43072</v>
      </c>
      <c r="C34" s="20">
        <f>D32+G32-H32</f>
        <v>186.6729583060102</v>
      </c>
      <c r="D34" s="21">
        <f>C34+(C34*0.10018)</f>
        <v>205.37385526910631</v>
      </c>
      <c r="E34" s="17">
        <f>C34/3250</f>
        <v>5.7437833324926219E-2</v>
      </c>
      <c r="F34" s="34">
        <f>(D34-C34)/E34</f>
        <v>325.58500000000021</v>
      </c>
      <c r="G34" s="18"/>
      <c r="H34" s="18"/>
      <c r="I34" s="19">
        <f>E34*50/C34</f>
        <v>1.5384615384615384E-2</v>
      </c>
      <c r="J34" s="87">
        <f>(D34-$C4)/$C4</f>
        <v>2.6869276345531573E-2</v>
      </c>
    </row>
    <row r="35" spans="1:11">
      <c r="A35" s="104"/>
      <c r="B35" s="81">
        <f>B34+7</f>
        <v>43079</v>
      </c>
      <c r="C35" s="20">
        <f>D34+G34-H34</f>
        <v>205.37385526910631</v>
      </c>
      <c r="D35" s="17">
        <f>C35+(C35*0.0214)</f>
        <v>209.76885577186519</v>
      </c>
      <c r="E35" s="17">
        <f>C35/3250</f>
        <v>6.3191955467417321E-2</v>
      </c>
      <c r="F35" s="34">
        <f>(D35-C35)/E35</f>
        <v>69.550000000000026</v>
      </c>
      <c r="G35" s="18"/>
      <c r="H35" s="18"/>
      <c r="I35" s="19">
        <f>E35*50/C35</f>
        <v>1.5384615384615384E-2</v>
      </c>
      <c r="J35" s="87">
        <f>(D35-$C4)/$C4</f>
        <v>4.8844278859325956E-2</v>
      </c>
    </row>
    <row r="36" spans="1:11">
      <c r="A36" s="104"/>
      <c r="B36" s="81">
        <f>B35+7</f>
        <v>43086</v>
      </c>
      <c r="C36" s="20">
        <f>D35+G35-H35</f>
        <v>209.76885577186519</v>
      </c>
      <c r="D36" s="17">
        <f>C36+(C36*0.0087)</f>
        <v>211.59384481708042</v>
      </c>
      <c r="E36" s="17">
        <f>C36/3250</f>
        <v>6.4544263314420064E-2</v>
      </c>
      <c r="F36" s="34">
        <f>(D36-C36)/E36</f>
        <v>28.275000000000087</v>
      </c>
      <c r="G36" s="18"/>
      <c r="H36" s="18"/>
      <c r="I36" s="19">
        <f>E36*50/C36</f>
        <v>1.5384615384615385E-2</v>
      </c>
      <c r="J36" s="87">
        <f>(D36-$C4)/$C4</f>
        <v>5.7969224085402116E-2</v>
      </c>
    </row>
    <row r="37" spans="1:11" ht="13" thickBot="1">
      <c r="A37" s="105"/>
      <c r="B37" s="81">
        <f>B36+7</f>
        <v>43093</v>
      </c>
      <c r="C37" s="20">
        <f>D36+G36-H36</f>
        <v>211.59384481708042</v>
      </c>
      <c r="D37" s="17">
        <f>C37+(C37*0)</f>
        <v>211.59384481708042</v>
      </c>
      <c r="E37" s="17">
        <f>C37/3250</f>
        <v>6.5105798405255516E-2</v>
      </c>
      <c r="F37" s="37">
        <f>(D37-C37)/E37</f>
        <v>0</v>
      </c>
      <c r="G37" s="18"/>
      <c r="H37" s="18"/>
      <c r="I37" s="19">
        <f>E37*50/C37</f>
        <v>1.5384615384615384E-2</v>
      </c>
      <c r="J37" s="87">
        <f>(D37-$C4)/$C4</f>
        <v>5.7969224085402116E-2</v>
      </c>
    </row>
    <row r="38" spans="1:11" ht="13" thickBot="1">
      <c r="A38" s="78"/>
      <c r="B38" s="13"/>
      <c r="C38" s="22"/>
      <c r="D38" s="23"/>
      <c r="E38" s="23"/>
      <c r="F38" s="97"/>
      <c r="G38" s="23"/>
      <c r="H38" s="10"/>
      <c r="I38" s="24"/>
      <c r="J38" s="86"/>
    </row>
    <row r="39" spans="1:11">
      <c r="A39" s="103">
        <v>8</v>
      </c>
      <c r="B39" s="81">
        <f>B37+7</f>
        <v>43100</v>
      </c>
      <c r="C39" s="20">
        <f>D37+G37-H37</f>
        <v>211.59384481708042</v>
      </c>
      <c r="D39" s="17">
        <f>C39+(C39*0)</f>
        <v>211.59384481708042</v>
      </c>
      <c r="E39" s="17">
        <f>C39/3250</f>
        <v>6.5105798405255516E-2</v>
      </c>
      <c r="F39" s="37">
        <f>(D39-C39)/E39</f>
        <v>0</v>
      </c>
      <c r="G39" s="18"/>
      <c r="H39" s="18"/>
      <c r="I39" s="19">
        <f>E39*50/C39</f>
        <v>1.5384615384615384E-2</v>
      </c>
      <c r="J39" s="87">
        <f>(D39-$C4)/$C4</f>
        <v>5.7969224085402116E-2</v>
      </c>
    </row>
    <row r="40" spans="1:11">
      <c r="A40" s="104"/>
      <c r="B40" s="81">
        <f>B39+7</f>
        <v>43107</v>
      </c>
      <c r="C40" s="20">
        <f>D39+G39-H39</f>
        <v>211.59384481708042</v>
      </c>
      <c r="D40" s="17">
        <f>C40+(C40*-0.0579)</f>
        <v>199.34256120217145</v>
      </c>
      <c r="E40" s="17">
        <f>C40/3250</f>
        <v>6.5105798405255516E-2</v>
      </c>
      <c r="F40" s="37">
        <f>(D40-C40)/E40</f>
        <v>-188.17500000000021</v>
      </c>
      <c r="G40" s="18"/>
      <c r="H40" s="18"/>
      <c r="I40" s="19">
        <f>E40*50/C40</f>
        <v>1.5384615384615384E-2</v>
      </c>
      <c r="J40" s="87">
        <f>(D40-$C4)/$C4</f>
        <v>-3.2871939891427359E-3</v>
      </c>
    </row>
    <row r="41" spans="1:11">
      <c r="A41" s="104"/>
      <c r="B41" s="81">
        <f>B40+7</f>
        <v>43114</v>
      </c>
      <c r="C41" s="20">
        <f>D40+G40-H40</f>
        <v>199.34256120217145</v>
      </c>
      <c r="D41" s="99">
        <f>C41+(C41*-0.1565)</f>
        <v>168.14545037403161</v>
      </c>
      <c r="E41" s="17">
        <f>C41/3250</f>
        <v>6.1336172677591214E-2</v>
      </c>
      <c r="F41" s="95">
        <f>(D41-C41)/E41</f>
        <v>-508.62500000000017</v>
      </c>
      <c r="G41" s="18"/>
      <c r="H41" s="18"/>
      <c r="I41" s="19">
        <f>E41*50/C41</f>
        <v>1.5384615384615385E-2</v>
      </c>
      <c r="J41" s="90">
        <f>(D41-$C4)/$C4</f>
        <v>-0.15927274812984193</v>
      </c>
    </row>
    <row r="42" spans="1:11" ht="13" thickBot="1">
      <c r="A42" s="105"/>
      <c r="B42" s="81">
        <f>B41+7</f>
        <v>43121</v>
      </c>
      <c r="C42" s="20">
        <f>D41+G41-H41</f>
        <v>168.14545037403161</v>
      </c>
      <c r="D42" s="99">
        <f>C42+(C42*-0.2248)</f>
        <v>130.34635312994931</v>
      </c>
      <c r="E42" s="17">
        <f>C42/3250</f>
        <v>5.1737061653548189E-2</v>
      </c>
      <c r="F42" s="95">
        <f>(D42-C42)/E42</f>
        <v>-730.59999999999991</v>
      </c>
      <c r="G42" s="18"/>
      <c r="H42" s="18"/>
      <c r="I42" s="19">
        <f>E42*50/C42</f>
        <v>1.5384615384615385E-2</v>
      </c>
      <c r="J42" s="93">
        <f>(D42-$C4)/$C4</f>
        <v>-0.34826823435025345</v>
      </c>
    </row>
    <row r="43" spans="1:11" ht="13" thickBot="1">
      <c r="A43" s="78"/>
      <c r="B43" s="13"/>
      <c r="C43" s="22"/>
      <c r="D43" s="23"/>
      <c r="E43" s="23"/>
      <c r="F43" s="27"/>
      <c r="G43" s="23"/>
      <c r="H43" s="10"/>
      <c r="I43" s="24"/>
      <c r="J43" s="86"/>
    </row>
    <row r="44" spans="1:11" ht="14.5">
      <c r="A44" s="103">
        <v>9</v>
      </c>
      <c r="B44" s="81">
        <f>B42+7</f>
        <v>43128</v>
      </c>
      <c r="C44" s="32">
        <f>D42+G42-H42</f>
        <v>130.34635312994931</v>
      </c>
      <c r="D44" s="17">
        <f>C44+(C44*0.03)</f>
        <v>134.25674372384779</v>
      </c>
      <c r="E44" s="17">
        <f>C44/3250</f>
        <v>4.0106570193830557E-2</v>
      </c>
      <c r="F44" s="28">
        <f>(D44-C44)/E44</f>
        <v>97.500000000000114</v>
      </c>
      <c r="G44" s="18"/>
      <c r="H44" s="18"/>
      <c r="I44" s="19">
        <f>E44*50/C44</f>
        <v>1.5384615384615384E-2</v>
      </c>
      <c r="J44" s="85"/>
    </row>
    <row r="45" spans="1:11">
      <c r="A45" s="104"/>
      <c r="B45" s="81">
        <f>B44+7</f>
        <v>43135</v>
      </c>
      <c r="C45" s="20">
        <f>D44+G44-H44</f>
        <v>134.25674372384779</v>
      </c>
      <c r="D45" s="17">
        <f>C45+(C45*0.03)</f>
        <v>138.28444603556324</v>
      </c>
      <c r="E45" s="17">
        <f>C45/3250</f>
        <v>4.1309767299645472E-2</v>
      </c>
      <c r="F45" s="28">
        <f>(D45-C45)/E45</f>
        <v>97.500000000000256</v>
      </c>
      <c r="G45" s="18"/>
      <c r="H45" s="18"/>
      <c r="I45" s="19">
        <f>E45*50/C45</f>
        <v>1.5384615384615384E-2</v>
      </c>
      <c r="J45" s="85"/>
    </row>
    <row r="46" spans="1:11">
      <c r="A46" s="104"/>
      <c r="B46" s="81">
        <f>B45+7</f>
        <v>43142</v>
      </c>
      <c r="C46" s="20">
        <f>D45+G45-H45</f>
        <v>138.28444603556324</v>
      </c>
      <c r="D46" s="17">
        <f>C46+(C46*0.03)</f>
        <v>142.43297941663013</v>
      </c>
      <c r="E46" s="17">
        <f>C46/3250</f>
        <v>4.254906031863484E-2</v>
      </c>
      <c r="F46" s="28">
        <f>(D46-C46)/E46</f>
        <v>97.500000000000014</v>
      </c>
      <c r="G46" s="18"/>
      <c r="H46" s="18"/>
      <c r="I46" s="19">
        <f>E46*50/C46</f>
        <v>1.5384615384615385E-2</v>
      </c>
      <c r="J46" s="85"/>
    </row>
    <row r="47" spans="1:11" ht="13.5" thickBot="1">
      <c r="A47" s="105"/>
      <c r="B47" s="81">
        <f>B46+7</f>
        <v>43149</v>
      </c>
      <c r="C47" s="20">
        <f>D46+G46-H46</f>
        <v>142.43297941663013</v>
      </c>
      <c r="D47" s="17">
        <f>C47+(C47*0.03)</f>
        <v>146.70596879912904</v>
      </c>
      <c r="E47" s="17">
        <f>C47/3250</f>
        <v>4.3825532128193886E-2</v>
      </c>
      <c r="F47" s="28">
        <f>(D47-C47)/E47</f>
        <v>97.500000000000057</v>
      </c>
      <c r="G47" s="18"/>
      <c r="H47" s="80">
        <f>(D47-C34)*0.35</f>
        <v>-13.988446327408406</v>
      </c>
      <c r="I47" s="19">
        <f>E47*50/C47</f>
        <v>1.5384615384615384E-2</v>
      </c>
      <c r="J47" s="85"/>
      <c r="K47" s="102" t="s">
        <v>49</v>
      </c>
    </row>
    <row r="48" spans="1:11" ht="13" thickBot="1">
      <c r="A48" s="78"/>
      <c r="B48" s="13"/>
      <c r="C48" s="22"/>
      <c r="D48" s="23"/>
      <c r="E48" s="23"/>
      <c r="F48" s="27"/>
      <c r="G48" s="23"/>
      <c r="H48" s="10"/>
      <c r="I48" s="24"/>
      <c r="J48" s="86"/>
    </row>
    <row r="49" spans="1:11">
      <c r="A49" s="103">
        <v>10</v>
      </c>
      <c r="B49" s="81">
        <f>B47+7</f>
        <v>43156</v>
      </c>
      <c r="C49" s="20">
        <f>D47+G47-H47</f>
        <v>160.69441512653745</v>
      </c>
      <c r="D49" s="17">
        <f>C49+(C49*0.03)</f>
        <v>165.51524758033358</v>
      </c>
      <c r="E49" s="17">
        <f>C49/3250</f>
        <v>4.9444435423549982E-2</v>
      </c>
      <c r="F49" s="28">
        <f>(D49-C49)/E49</f>
        <v>97.500000000000114</v>
      </c>
      <c r="G49" s="18"/>
      <c r="H49" s="18"/>
      <c r="I49" s="19">
        <f>E49*50/C49</f>
        <v>1.5384615384615384E-2</v>
      </c>
      <c r="J49" s="85"/>
    </row>
    <row r="50" spans="1:11">
      <c r="A50" s="104"/>
      <c r="B50" s="81">
        <f>B49+7</f>
        <v>43163</v>
      </c>
      <c r="C50" s="20">
        <f>D49+G49-H49</f>
        <v>165.51524758033358</v>
      </c>
      <c r="D50" s="17">
        <f>C50+(C50*0.03)</f>
        <v>170.48070500774358</v>
      </c>
      <c r="E50" s="17">
        <f>C50/3250</f>
        <v>5.0927768486256485E-2</v>
      </c>
      <c r="F50" s="28">
        <f>(D50-C50)/E50</f>
        <v>97.499999999999886</v>
      </c>
      <c r="G50" s="18"/>
      <c r="H50" s="18"/>
      <c r="I50" s="19">
        <f>E50*50/C50</f>
        <v>1.5384615384615385E-2</v>
      </c>
      <c r="J50" s="85"/>
    </row>
    <row r="51" spans="1:11">
      <c r="A51" s="104"/>
      <c r="B51" s="81">
        <f>B50+7</f>
        <v>43170</v>
      </c>
      <c r="C51" s="20">
        <f>D50+G50-H50</f>
        <v>170.48070500774358</v>
      </c>
      <c r="D51" s="17">
        <f>C51+(C51*0.03)</f>
        <v>175.5951261579759</v>
      </c>
      <c r="E51" s="17">
        <f>C51/3250</f>
        <v>5.2455601540844179E-2</v>
      </c>
      <c r="F51" s="28">
        <f>(D51-C51)/E51</f>
        <v>97.500000000000185</v>
      </c>
      <c r="G51" s="18"/>
      <c r="H51" s="18"/>
      <c r="I51" s="19">
        <f>E51*50/C51</f>
        <v>1.5384615384615385E-2</v>
      </c>
      <c r="J51" s="85"/>
    </row>
    <row r="52" spans="1:11" ht="13" thickBot="1">
      <c r="A52" s="105"/>
      <c r="B52" s="81">
        <f>B51+7</f>
        <v>43177</v>
      </c>
      <c r="C52" s="20">
        <f>D51+G51-H51</f>
        <v>175.5951261579759</v>
      </c>
      <c r="D52" s="17">
        <f>C52+(C52*0.03)</f>
        <v>180.86297994271519</v>
      </c>
      <c r="E52" s="17">
        <f>C52/3250</f>
        <v>5.4029269587069509E-2</v>
      </c>
      <c r="F52" s="28">
        <f>(D52-C52)/E52</f>
        <v>97.500000000000185</v>
      </c>
      <c r="G52" s="18"/>
      <c r="H52" s="80"/>
      <c r="I52" s="19">
        <f>E52*50/C52</f>
        <v>1.5384615384615385E-2</v>
      </c>
      <c r="J52" s="85"/>
    </row>
    <row r="53" spans="1:11" ht="13" thickBot="1">
      <c r="A53" s="78"/>
      <c r="B53" s="13"/>
      <c r="C53" s="22"/>
      <c r="D53" s="23"/>
      <c r="E53" s="23"/>
      <c r="F53" s="27"/>
      <c r="G53" s="23"/>
      <c r="H53" s="10"/>
      <c r="I53" s="24"/>
      <c r="J53" s="86"/>
    </row>
    <row r="54" spans="1:11">
      <c r="A54" s="103">
        <v>11</v>
      </c>
      <c r="B54" s="81">
        <f>B52+7</f>
        <v>43184</v>
      </c>
      <c r="C54" s="20">
        <f>D52+G52-H52</f>
        <v>180.86297994271519</v>
      </c>
      <c r="D54" s="17">
        <f>C54+(C54*0.03)</f>
        <v>186.28886934099665</v>
      </c>
      <c r="E54" s="17">
        <f>C54/3250</f>
        <v>5.5650147674681592E-2</v>
      </c>
      <c r="F54" s="28">
        <f>(D54-C54)/E54</f>
        <v>97.500000000000256</v>
      </c>
      <c r="G54" s="18"/>
      <c r="H54" s="18"/>
      <c r="I54" s="19">
        <f>E54*50/C54</f>
        <v>1.5384615384615384E-2</v>
      </c>
      <c r="J54" s="85"/>
    </row>
    <row r="55" spans="1:11">
      <c r="A55" s="104"/>
      <c r="B55" s="81">
        <f>B54+7</f>
        <v>43191</v>
      </c>
      <c r="C55" s="20">
        <f>D54+G54-H54</f>
        <v>186.28886934099665</v>
      </c>
      <c r="D55" s="17">
        <f>C55+(C55*0.03)</f>
        <v>191.87753542122655</v>
      </c>
      <c r="E55" s="17">
        <f>C55/3250</f>
        <v>5.7319652104922049E-2</v>
      </c>
      <c r="F55" s="28">
        <f>(D55-C55)/E55</f>
        <v>97.499999999999986</v>
      </c>
      <c r="G55" s="18"/>
      <c r="H55" s="18"/>
      <c r="I55" s="19">
        <f>E55*50/C55</f>
        <v>1.5384615384615384E-2</v>
      </c>
      <c r="J55" s="85"/>
    </row>
    <row r="56" spans="1:11">
      <c r="A56" s="104"/>
      <c r="B56" s="81">
        <f>B55+7</f>
        <v>43198</v>
      </c>
      <c r="C56" s="20">
        <f>D55+G55-H55</f>
        <v>191.87753542122655</v>
      </c>
      <c r="D56" s="17">
        <f>C56+(C56*0.03)</f>
        <v>197.63386148386334</v>
      </c>
      <c r="E56" s="17">
        <f>C56/3250</f>
        <v>5.903924166806971E-2</v>
      </c>
      <c r="F56" s="28">
        <f>(D56-C56)/E56</f>
        <v>97.499999999999844</v>
      </c>
      <c r="G56" s="18"/>
      <c r="H56" s="18"/>
      <c r="I56" s="19">
        <f>E56*50/C56</f>
        <v>1.5384615384615384E-2</v>
      </c>
      <c r="J56" s="85"/>
    </row>
    <row r="57" spans="1:11" ht="13" thickBot="1">
      <c r="A57" s="105"/>
      <c r="B57" s="81">
        <f>B56+7</f>
        <v>43205</v>
      </c>
      <c r="C57" s="20">
        <f>D56+G56-H56</f>
        <v>197.63386148386334</v>
      </c>
      <c r="D57" s="17">
        <f>C57+(C57*0.03)</f>
        <v>203.56287732837924</v>
      </c>
      <c r="E57" s="17">
        <f>C57/3250</f>
        <v>6.08104189181118E-2</v>
      </c>
      <c r="F57" s="28">
        <f>(D57-C57)/E57</f>
        <v>97.500000000000028</v>
      </c>
      <c r="G57" s="18"/>
      <c r="H57" s="80"/>
      <c r="I57" s="19">
        <f>E57*50/C57</f>
        <v>1.5384615384615385E-2</v>
      </c>
      <c r="J57" s="85"/>
    </row>
    <row r="58" spans="1:11" ht="13" thickBot="1">
      <c r="A58" s="78"/>
      <c r="B58" s="13"/>
      <c r="C58" s="22"/>
      <c r="D58" s="23"/>
      <c r="E58" s="23"/>
      <c r="F58" s="27"/>
      <c r="G58" s="23"/>
      <c r="H58" s="10"/>
      <c r="I58" s="24"/>
      <c r="J58" s="86"/>
    </row>
    <row r="59" spans="1:11">
      <c r="A59" s="103">
        <v>12</v>
      </c>
      <c r="B59" s="81">
        <f>B57+7</f>
        <v>43212</v>
      </c>
      <c r="C59" s="20">
        <f>D57+G57-H57</f>
        <v>203.56287732837924</v>
      </c>
      <c r="D59" s="17">
        <f>C59+(C59*0.03)</f>
        <v>209.66976364823063</v>
      </c>
      <c r="E59" s="17">
        <f>C59/3250</f>
        <v>6.2634731485655154E-2</v>
      </c>
      <c r="F59" s="28">
        <f>(D59-C59)/E59</f>
        <v>97.500000000000099</v>
      </c>
      <c r="G59" s="18"/>
      <c r="H59" s="18"/>
      <c r="I59" s="19">
        <f>E59*50/C59</f>
        <v>1.5384615384615385E-2</v>
      </c>
      <c r="J59" s="85"/>
    </row>
    <row r="60" spans="1:11">
      <c r="A60" s="104"/>
      <c r="B60" s="81">
        <f>B59+7</f>
        <v>43219</v>
      </c>
      <c r="C60" s="20">
        <f>D59+G59-H59</f>
        <v>209.66976364823063</v>
      </c>
      <c r="D60" s="17">
        <f>C60+(C60*0.03)</f>
        <v>215.95985655767754</v>
      </c>
      <c r="E60" s="17">
        <f>C60/3250</f>
        <v>6.4513773430224811E-2</v>
      </c>
      <c r="F60" s="28">
        <f>(D60-C60)/E60</f>
        <v>97.499999999999886</v>
      </c>
      <c r="G60" s="18"/>
      <c r="H60" s="18"/>
      <c r="I60" s="19">
        <f>E60*50/C60</f>
        <v>1.5384615384615385E-2</v>
      </c>
      <c r="J60" s="85"/>
    </row>
    <row r="61" spans="1:11">
      <c r="A61" s="104"/>
      <c r="B61" s="81">
        <f>B60+7</f>
        <v>43226</v>
      </c>
      <c r="C61" s="20">
        <f>D60+G60-H60</f>
        <v>215.95985655767754</v>
      </c>
      <c r="D61" s="17">
        <f>C61+(C61*0.03)</f>
        <v>222.43865225440786</v>
      </c>
      <c r="E61" s="17">
        <f>C61/3250</f>
        <v>6.6449186633131554E-2</v>
      </c>
      <c r="F61" s="28">
        <f>(D61-C61)/E61</f>
        <v>97.499999999999844</v>
      </c>
      <c r="G61" s="18"/>
      <c r="H61" s="18"/>
      <c r="I61" s="19">
        <f>E61*50/C61</f>
        <v>1.5384615384615385E-2</v>
      </c>
      <c r="J61" s="85"/>
    </row>
    <row r="62" spans="1:11" ht="13.5" thickBot="1">
      <c r="A62" s="105"/>
      <c r="B62" s="81">
        <f>B61+7</f>
        <v>43233</v>
      </c>
      <c r="C62" s="20">
        <f>D61+G61-H61</f>
        <v>222.43865225440786</v>
      </c>
      <c r="D62" s="17">
        <f>C62+(C62*0.03)</f>
        <v>229.1118118220401</v>
      </c>
      <c r="E62" s="17">
        <f>C62/3250</f>
        <v>6.8442662232125501E-2</v>
      </c>
      <c r="F62" s="28">
        <f>(D62-C62)/E62</f>
        <v>97.500000000000057</v>
      </c>
      <c r="G62" s="18"/>
      <c r="H62" s="80">
        <f>(D62-C49)*0.35</f>
        <v>23.946088843425926</v>
      </c>
      <c r="I62" s="19">
        <f>E62*50/C62</f>
        <v>1.5384615384615385E-2</v>
      </c>
      <c r="J62" s="85"/>
      <c r="K62" s="102" t="s">
        <v>49</v>
      </c>
    </row>
    <row r="63" spans="1:11" ht="13" thickBot="1">
      <c r="A63" s="78"/>
      <c r="B63" s="13"/>
      <c r="C63" s="22"/>
      <c r="D63" s="23"/>
      <c r="E63" s="23"/>
      <c r="F63" s="27"/>
      <c r="G63" s="23"/>
      <c r="H63" s="10"/>
      <c r="I63" s="24"/>
      <c r="J63" s="86"/>
    </row>
    <row r="64" spans="1:11">
      <c r="A64" s="103">
        <v>13</v>
      </c>
      <c r="B64" s="81">
        <f>B62+7</f>
        <v>43240</v>
      </c>
      <c r="C64" s="20">
        <f>D62+G62-H62</f>
        <v>205.16572297861416</v>
      </c>
      <c r="D64" s="17">
        <f>C64+(C64*0.03)</f>
        <v>211.32069466797259</v>
      </c>
      <c r="E64" s="17">
        <f>C64/3250</f>
        <v>6.3127914762650505E-2</v>
      </c>
      <c r="F64" s="28">
        <f>(D64-C64)/E64</f>
        <v>97.500000000000142</v>
      </c>
      <c r="G64" s="17"/>
      <c r="H64" s="79"/>
      <c r="I64" s="19">
        <f>E64*50/C64</f>
        <v>1.5384615384615384E-2</v>
      </c>
      <c r="J64" s="85"/>
    </row>
    <row r="65" spans="1:11">
      <c r="A65" s="104"/>
      <c r="B65" s="81">
        <f>B64+7</f>
        <v>43247</v>
      </c>
      <c r="C65" s="20">
        <f>D64+G64-H64</f>
        <v>211.32069466797259</v>
      </c>
      <c r="D65" s="17">
        <f>C65+(C65*0.03)</f>
        <v>217.66031550801176</v>
      </c>
      <c r="E65" s="17">
        <f>C65/3250</f>
        <v>6.5021752205530026E-2</v>
      </c>
      <c r="F65" s="28">
        <f>(D65-C65)/E65</f>
        <v>97.499999999999943</v>
      </c>
      <c r="G65" s="17"/>
      <c r="H65" s="79"/>
      <c r="I65" s="19">
        <f>E65*50/C65</f>
        <v>1.5384615384615385E-2</v>
      </c>
      <c r="J65" s="85"/>
    </row>
    <row r="66" spans="1:11">
      <c r="A66" s="104"/>
      <c r="B66" s="81">
        <f>B65+7</f>
        <v>43254</v>
      </c>
      <c r="C66" s="20">
        <f>D65+G65-H65</f>
        <v>217.66031550801176</v>
      </c>
      <c r="D66" s="17">
        <f>C66+(C66*0.03)</f>
        <v>224.19012497325213</v>
      </c>
      <c r="E66" s="17">
        <f>C66/3250</f>
        <v>6.6972404771695929E-2</v>
      </c>
      <c r="F66" s="28">
        <f>(D66-C66)/E66</f>
        <v>97.500000000000128</v>
      </c>
      <c r="G66" s="17"/>
      <c r="H66" s="79"/>
      <c r="I66" s="19">
        <f>E66*50/C66</f>
        <v>1.5384615384615384E-2</v>
      </c>
      <c r="J66" s="85"/>
    </row>
    <row r="67" spans="1:11" ht="13" thickBot="1">
      <c r="A67" s="105"/>
      <c r="B67" s="81">
        <f>B66+7</f>
        <v>43261</v>
      </c>
      <c r="C67" s="20">
        <f>D66+G66-H66</f>
        <v>224.19012497325213</v>
      </c>
      <c r="D67" s="17">
        <f>C67+(C67*0.03)</f>
        <v>230.9158287224497</v>
      </c>
      <c r="E67" s="17">
        <f>C67/3250</f>
        <v>6.8981576914846812E-2</v>
      </c>
      <c r="F67" s="28">
        <f>(D67-C67)/E67</f>
        <v>97.500000000000199</v>
      </c>
      <c r="G67" s="18"/>
      <c r="H67" s="80"/>
      <c r="I67" s="19">
        <f>E67*50/C67</f>
        <v>1.5384615384615385E-2</v>
      </c>
      <c r="J67" s="85"/>
    </row>
    <row r="68" spans="1:11" ht="13" thickBot="1">
      <c r="A68" s="78"/>
      <c r="B68" s="13"/>
      <c r="C68" s="22"/>
      <c r="D68" s="23"/>
      <c r="E68" s="23"/>
      <c r="F68" s="27"/>
      <c r="G68" s="23"/>
      <c r="H68" s="10"/>
      <c r="I68" s="24"/>
      <c r="J68" s="86"/>
    </row>
    <row r="69" spans="1:11">
      <c r="A69" s="103">
        <v>14</v>
      </c>
      <c r="B69" s="81">
        <f>B67+7</f>
        <v>43268</v>
      </c>
      <c r="C69" s="20">
        <f>D67+G67-H67</f>
        <v>230.9158287224497</v>
      </c>
      <c r="D69" s="17">
        <f>C69+(C69*0.03)</f>
        <v>237.84330358412319</v>
      </c>
      <c r="E69" s="17">
        <f>C69/3250</f>
        <v>7.1051024222292217E-2</v>
      </c>
      <c r="F69" s="28">
        <f>(D69-C69)/E69</f>
        <v>97.499999999999957</v>
      </c>
      <c r="G69" s="18"/>
      <c r="H69" s="18"/>
      <c r="I69" s="19">
        <f>E69*50/C69</f>
        <v>1.5384615384615385E-2</v>
      </c>
      <c r="J69" s="85"/>
    </row>
    <row r="70" spans="1:11">
      <c r="A70" s="104"/>
      <c r="B70" s="81">
        <f>B69+7</f>
        <v>43275</v>
      </c>
      <c r="C70" s="20">
        <f>D69+G69-H69</f>
        <v>237.84330358412319</v>
      </c>
      <c r="D70" s="17">
        <f>C70+(C70*0.03)</f>
        <v>244.9786026916469</v>
      </c>
      <c r="E70" s="17">
        <f>C70/3250</f>
        <v>7.3182554948960976E-2</v>
      </c>
      <c r="F70" s="28">
        <f>(D70-C70)/E70</f>
        <v>97.500000000000156</v>
      </c>
      <c r="G70" s="18"/>
      <c r="H70" s="18"/>
      <c r="I70" s="19">
        <f>E70*50/C70</f>
        <v>1.5384615384615384E-2</v>
      </c>
      <c r="J70" s="85"/>
    </row>
    <row r="71" spans="1:11">
      <c r="A71" s="104"/>
      <c r="B71" s="81">
        <f>B70+7</f>
        <v>43282</v>
      </c>
      <c r="C71" s="20">
        <f>D70+G70-H70</f>
        <v>244.9786026916469</v>
      </c>
      <c r="D71" s="17">
        <f>C71+(C71*0.03)</f>
        <v>252.3279607723963</v>
      </c>
      <c r="E71" s="17">
        <f>C71/3250</f>
        <v>7.5378031597429812E-2</v>
      </c>
      <c r="F71" s="28">
        <f>(D71-C71)/E71</f>
        <v>97.499999999999872</v>
      </c>
      <c r="G71" s="18"/>
      <c r="H71" s="18"/>
      <c r="I71" s="19">
        <f>E71*50/C71</f>
        <v>1.5384615384615384E-2</v>
      </c>
      <c r="J71" s="85"/>
    </row>
    <row r="72" spans="1:11" ht="13" thickBot="1">
      <c r="A72" s="105"/>
      <c r="B72" s="81">
        <f>B71+7</f>
        <v>43289</v>
      </c>
      <c r="C72" s="20">
        <f>D71+G71-H71</f>
        <v>252.3279607723963</v>
      </c>
      <c r="D72" s="17">
        <f>C72+(C72*0.03)</f>
        <v>259.89779959556819</v>
      </c>
      <c r="E72" s="17">
        <f>C72/3250</f>
        <v>7.7639372545352706E-2</v>
      </c>
      <c r="F72" s="28">
        <f>(D72-C72)/E72</f>
        <v>97.500000000000043</v>
      </c>
      <c r="G72" s="18"/>
      <c r="H72" s="80"/>
      <c r="I72" s="19">
        <f>E72*50/C72</f>
        <v>1.5384615384615384E-2</v>
      </c>
      <c r="J72" s="85"/>
    </row>
    <row r="73" spans="1:11" ht="13" thickBot="1">
      <c r="A73" s="78"/>
      <c r="B73" s="13"/>
      <c r="C73" s="22"/>
      <c r="D73" s="23"/>
      <c r="E73" s="23"/>
      <c r="F73" s="27"/>
      <c r="G73" s="23"/>
      <c r="H73" s="10"/>
      <c r="I73" s="24"/>
      <c r="J73" s="86"/>
    </row>
    <row r="74" spans="1:11">
      <c r="A74" s="103">
        <v>15</v>
      </c>
      <c r="B74" s="81">
        <f>B72+7</f>
        <v>43296</v>
      </c>
      <c r="C74" s="20">
        <f>D72+G72-H72</f>
        <v>259.89779959556819</v>
      </c>
      <c r="D74" s="17">
        <f>C74+(C74*0.03)</f>
        <v>267.69473358343521</v>
      </c>
      <c r="E74" s="17">
        <f>C74/3250</f>
        <v>7.9968553721713284E-2</v>
      </c>
      <c r="F74" s="28">
        <f>(D74-C74)/E74</f>
        <v>97.499999999999702</v>
      </c>
      <c r="G74" s="18"/>
      <c r="H74" s="18"/>
      <c r="I74" s="19">
        <f>E74*50/C74</f>
        <v>1.5384615384615384E-2</v>
      </c>
      <c r="J74" s="85"/>
    </row>
    <row r="75" spans="1:11">
      <c r="A75" s="104"/>
      <c r="B75" s="81">
        <f>B74+7</f>
        <v>43303</v>
      </c>
      <c r="C75" s="20">
        <f>D74+G74-H74</f>
        <v>267.69473358343521</v>
      </c>
      <c r="D75" s="17">
        <f>C75+(C75*0.03)</f>
        <v>275.72557559093826</v>
      </c>
      <c r="E75" s="17">
        <f>C75/3250</f>
        <v>8.2367610333364677E-2</v>
      </c>
      <c r="F75" s="28">
        <f>(D75-C75)/E75</f>
        <v>97.499999999999972</v>
      </c>
      <c r="G75" s="18"/>
      <c r="H75" s="18"/>
      <c r="I75" s="19">
        <f>E75*50/C75</f>
        <v>1.5384615384615384E-2</v>
      </c>
      <c r="J75" s="85"/>
    </row>
    <row r="76" spans="1:11">
      <c r="A76" s="104"/>
      <c r="B76" s="81">
        <f>B75+7</f>
        <v>43310</v>
      </c>
      <c r="C76" s="20">
        <f>D75+G75-H75</f>
        <v>275.72557559093826</v>
      </c>
      <c r="D76" s="17">
        <f>C76+(C76*0.03)</f>
        <v>283.9973428586664</v>
      </c>
      <c r="E76" s="17">
        <f>C76/3250</f>
        <v>8.4838638643365619E-2</v>
      </c>
      <c r="F76" s="28">
        <f>(D76-C76)/E76</f>
        <v>97.499999999999872</v>
      </c>
      <c r="G76" s="18"/>
      <c r="H76" s="18"/>
      <c r="I76" s="19">
        <f>E76*50/C76</f>
        <v>1.5384615384615385E-2</v>
      </c>
      <c r="J76" s="85"/>
    </row>
    <row r="77" spans="1:11" ht="13.5" thickBot="1">
      <c r="A77" s="105"/>
      <c r="B77" s="81">
        <f>B76+7</f>
        <v>43317</v>
      </c>
      <c r="C77" s="20">
        <f>D76+G76-H76</f>
        <v>283.9973428586664</v>
      </c>
      <c r="D77" s="17">
        <f>C77+(C77*0.03)</f>
        <v>292.51726314442641</v>
      </c>
      <c r="E77" s="17">
        <f>C77/3250</f>
        <v>8.7383797802666585E-2</v>
      </c>
      <c r="F77" s="28">
        <f>(D77-C77)/E77</f>
        <v>97.500000000000185</v>
      </c>
      <c r="G77" s="18"/>
      <c r="H77" s="80">
        <f>(D77-C64)*0.35</f>
        <v>30.573039058034286</v>
      </c>
      <c r="I77" s="19">
        <f>E77*50/C77</f>
        <v>1.5384615384615385E-2</v>
      </c>
      <c r="J77" s="85"/>
      <c r="K77" s="102" t="s">
        <v>49</v>
      </c>
    </row>
    <row r="78" spans="1:11" ht="13" thickBot="1">
      <c r="A78" s="78"/>
      <c r="B78" s="13"/>
      <c r="C78" s="22"/>
      <c r="D78" s="23"/>
      <c r="E78" s="23"/>
      <c r="F78" s="27"/>
      <c r="G78" s="23"/>
      <c r="H78" s="10"/>
      <c r="I78" s="24"/>
      <c r="J78" s="86"/>
    </row>
    <row r="79" spans="1:11">
      <c r="A79" s="103">
        <v>16</v>
      </c>
      <c r="B79" s="81">
        <f>B77+7</f>
        <v>43324</v>
      </c>
      <c r="C79" s="20">
        <f>D77+G77-H77</f>
        <v>261.94422408639213</v>
      </c>
      <c r="D79" s="17">
        <f>C79+(C79*0.03)</f>
        <v>269.80255080898388</v>
      </c>
      <c r="E79" s="17">
        <f>C79/3250</f>
        <v>8.0598222795812968E-2</v>
      </c>
      <c r="F79" s="28">
        <f>(D79-C79)/E79</f>
        <v>97.499999999999886</v>
      </c>
      <c r="G79" s="18"/>
      <c r="H79" s="18"/>
      <c r="I79" s="19">
        <f>E79*50/C79</f>
        <v>1.5384615384615387E-2</v>
      </c>
      <c r="J79" s="85"/>
    </row>
    <row r="80" spans="1:11">
      <c r="A80" s="104"/>
      <c r="B80" s="81">
        <f>B79+7</f>
        <v>43331</v>
      </c>
      <c r="C80" s="20">
        <f>D79+G79-H79</f>
        <v>269.80255080898388</v>
      </c>
      <c r="D80" s="17">
        <f>C80+(C80*0.03)</f>
        <v>277.89662733325338</v>
      </c>
      <c r="E80" s="17">
        <f>C80/3250</f>
        <v>8.3016169479687346E-2</v>
      </c>
      <c r="F80" s="28">
        <f>(D80-C80)/E80</f>
        <v>97.499999999999758</v>
      </c>
      <c r="G80" s="18"/>
      <c r="H80" s="18"/>
      <c r="I80" s="19">
        <f>E80*50/C80</f>
        <v>1.5384615384615382E-2</v>
      </c>
      <c r="J80" s="85"/>
    </row>
    <row r="81" spans="1:11">
      <c r="A81" s="104"/>
      <c r="B81" s="81">
        <f>B80+7</f>
        <v>43338</v>
      </c>
      <c r="C81" s="20">
        <f>D80+G80-H80</f>
        <v>277.89662733325338</v>
      </c>
      <c r="D81" s="17">
        <f>C81+(C81*0.03)</f>
        <v>286.23352615325098</v>
      </c>
      <c r="E81" s="17">
        <f>C81/3250</f>
        <v>8.5506654564077966E-2</v>
      </c>
      <c r="F81" s="28">
        <f>(D81-C81)/E81</f>
        <v>97.499999999999986</v>
      </c>
      <c r="G81" s="18"/>
      <c r="H81" s="18"/>
      <c r="I81" s="19">
        <f>E81*50/C81</f>
        <v>1.5384615384615387E-2</v>
      </c>
      <c r="J81" s="85"/>
    </row>
    <row r="82" spans="1:11" ht="13" thickBot="1">
      <c r="A82" s="105"/>
      <c r="B82" s="81">
        <f>B81+7</f>
        <v>43345</v>
      </c>
      <c r="C82" s="20">
        <f>D81+G81-H81</f>
        <v>286.23352615325098</v>
      </c>
      <c r="D82" s="17">
        <f>C82+(C82*0.03)</f>
        <v>294.8205319378485</v>
      </c>
      <c r="E82" s="17">
        <f>C82/3250</f>
        <v>8.8071854201000305E-2</v>
      </c>
      <c r="F82" s="28">
        <f>(D82-C82)/E82</f>
        <v>97.499999999999915</v>
      </c>
      <c r="G82" s="18"/>
      <c r="H82" s="80"/>
      <c r="I82" s="19">
        <f>E82*50/C82</f>
        <v>1.5384615384615384E-2</v>
      </c>
      <c r="J82" s="85"/>
    </row>
    <row r="83" spans="1:11" ht="13" thickBot="1">
      <c r="A83" s="78"/>
      <c r="B83" s="13"/>
      <c r="C83" s="22"/>
      <c r="D83" s="23"/>
      <c r="E83" s="23"/>
      <c r="F83" s="27"/>
      <c r="G83" s="23"/>
      <c r="H83" s="10"/>
      <c r="I83" s="24"/>
      <c r="J83" s="86"/>
    </row>
    <row r="84" spans="1:11">
      <c r="A84" s="103">
        <v>17</v>
      </c>
      <c r="B84" s="81">
        <f>B82+7</f>
        <v>43352</v>
      </c>
      <c r="C84" s="20">
        <f>D82+G82-H82</f>
        <v>294.8205319378485</v>
      </c>
      <c r="D84" s="17">
        <f>C84+(C84*0.03)</f>
        <v>303.66514789598398</v>
      </c>
      <c r="E84" s="17">
        <f>C84/3250</f>
        <v>9.0714009827030304E-2</v>
      </c>
      <c r="F84" s="28">
        <f>(D84-C84)/E84</f>
        <v>97.500000000000256</v>
      </c>
      <c r="G84" s="18"/>
      <c r="H84" s="18"/>
      <c r="I84" s="19">
        <f>E84*50/C84</f>
        <v>1.5384615384615384E-2</v>
      </c>
      <c r="J84" s="85"/>
    </row>
    <row r="85" spans="1:11">
      <c r="A85" s="104"/>
      <c r="B85" s="81">
        <f>B84+7</f>
        <v>43359</v>
      </c>
      <c r="C85" s="20">
        <f>D84+G84-H84</f>
        <v>303.66514789598398</v>
      </c>
      <c r="D85" s="17">
        <f>C85+(C85*0.03)</f>
        <v>312.77510233286353</v>
      </c>
      <c r="E85" s="17">
        <f>C85/3250</f>
        <v>9.3435430121841218E-2</v>
      </c>
      <c r="F85" s="28">
        <f>(D85-C85)/E85</f>
        <v>97.500000000000313</v>
      </c>
      <c r="G85" s="18"/>
      <c r="H85" s="18"/>
      <c r="I85" s="19">
        <f>E85*50/C85</f>
        <v>1.5384615384615385E-2</v>
      </c>
      <c r="J85" s="85"/>
    </row>
    <row r="86" spans="1:11">
      <c r="A86" s="104"/>
      <c r="B86" s="81">
        <f>B85+7</f>
        <v>43366</v>
      </c>
      <c r="C86" s="20">
        <f>D85+G85-H85</f>
        <v>312.77510233286353</v>
      </c>
      <c r="D86" s="17">
        <f>C86+(C86*0.03)</f>
        <v>322.15835540284945</v>
      </c>
      <c r="E86" s="17">
        <f>C86/3250</f>
        <v>9.6238493025496474E-2</v>
      </c>
      <c r="F86" s="28">
        <f>(D86-C86)/E86</f>
        <v>97.500000000000213</v>
      </c>
      <c r="G86" s="18"/>
      <c r="H86" s="18"/>
      <c r="I86" s="19">
        <f>E86*50/C86</f>
        <v>1.5384615384615385E-2</v>
      </c>
      <c r="J86" s="85"/>
    </row>
    <row r="87" spans="1:11" ht="13" thickBot="1">
      <c r="A87" s="105"/>
      <c r="B87" s="81">
        <f>B86+7</f>
        <v>43373</v>
      </c>
      <c r="C87" s="20">
        <f>D86+G86-H86</f>
        <v>322.15835540284945</v>
      </c>
      <c r="D87" s="17">
        <f>C87+(C87*0.03)</f>
        <v>331.82310606493496</v>
      </c>
      <c r="E87" s="17">
        <f>C87/3250</f>
        <v>9.9125647816261375E-2</v>
      </c>
      <c r="F87" s="28">
        <f>(D87-C87)/E87</f>
        <v>97.500000000000256</v>
      </c>
      <c r="G87" s="18"/>
      <c r="H87" s="80"/>
      <c r="I87" s="19">
        <f>E87*50/C87</f>
        <v>1.5384615384615385E-2</v>
      </c>
      <c r="J87" s="85"/>
    </row>
    <row r="88" spans="1:11" ht="13" thickBot="1">
      <c r="A88" s="78"/>
      <c r="B88" s="13"/>
      <c r="C88" s="22"/>
      <c r="D88" s="23"/>
      <c r="E88" s="23"/>
      <c r="F88" s="27"/>
      <c r="G88" s="23"/>
      <c r="H88" s="10"/>
      <c r="I88" s="24"/>
      <c r="J88" s="86"/>
    </row>
    <row r="89" spans="1:11">
      <c r="A89" s="103">
        <v>18</v>
      </c>
      <c r="B89" s="81">
        <f>B87+7</f>
        <v>43380</v>
      </c>
      <c r="C89" s="20">
        <f>D87+G87-H87</f>
        <v>331.82310606493496</v>
      </c>
      <c r="D89" s="17">
        <f>C89+(C89*0.03)</f>
        <v>341.77779924688303</v>
      </c>
      <c r="E89" s="17">
        <f>C89/3250</f>
        <v>0.10209941725074922</v>
      </c>
      <c r="F89" s="28">
        <f>(D89-C89)/E89</f>
        <v>97.500000000000227</v>
      </c>
      <c r="G89" s="18"/>
      <c r="H89" s="18"/>
      <c r="I89" s="19">
        <f>E89*50/C89</f>
        <v>1.5384615384615387E-2</v>
      </c>
      <c r="J89" s="85"/>
    </row>
    <row r="90" spans="1:11">
      <c r="A90" s="104"/>
      <c r="B90" s="81">
        <f>B89+7</f>
        <v>43387</v>
      </c>
      <c r="C90" s="20">
        <f>D89+G89-H89</f>
        <v>341.77779924688303</v>
      </c>
      <c r="D90" s="17">
        <f>C90+(C90*0.03)</f>
        <v>352.03113322428953</v>
      </c>
      <c r="E90" s="17">
        <f>C90/3250</f>
        <v>0.1051623997682717</v>
      </c>
      <c r="F90" s="28">
        <f>(D90-C90)/E90</f>
        <v>97.500000000000071</v>
      </c>
      <c r="G90" s="18"/>
      <c r="H90" s="18"/>
      <c r="I90" s="19">
        <f>E90*50/C90</f>
        <v>1.5384615384615385E-2</v>
      </c>
      <c r="J90" s="85"/>
    </row>
    <row r="91" spans="1:11">
      <c r="A91" s="104"/>
      <c r="B91" s="81">
        <f>B90+7</f>
        <v>43394</v>
      </c>
      <c r="C91" s="20">
        <f>D90+G90-H90</f>
        <v>352.03113322428953</v>
      </c>
      <c r="D91" s="17">
        <f>C91+(C91*0.03)</f>
        <v>362.59206722101823</v>
      </c>
      <c r="E91" s="17">
        <f>C91/3250</f>
        <v>0.10831727176131986</v>
      </c>
      <c r="F91" s="28">
        <f>(D91-C91)/E91</f>
        <v>97.500000000000057</v>
      </c>
      <c r="G91" s="18"/>
      <c r="H91" s="18"/>
      <c r="I91" s="19">
        <f>E91*50/C91</f>
        <v>1.5384615384615385E-2</v>
      </c>
      <c r="J91" s="85"/>
    </row>
    <row r="92" spans="1:11" ht="13.5" thickBot="1">
      <c r="A92" s="105"/>
      <c r="B92" s="81">
        <f>B91+7</f>
        <v>43401</v>
      </c>
      <c r="C92" s="20">
        <f>D91+G91-H91</f>
        <v>362.59206722101823</v>
      </c>
      <c r="D92" s="17">
        <f>C92+(C92*0.03)</f>
        <v>373.46982923764875</v>
      </c>
      <c r="E92" s="17">
        <f>C92/3250</f>
        <v>0.11156678991415946</v>
      </c>
      <c r="F92" s="28">
        <f>(D92-C92)/E92</f>
        <v>97.499999999999815</v>
      </c>
      <c r="G92" s="18"/>
      <c r="H92" s="80">
        <f>(D92-C79)*0.35</f>
        <v>39.033961802939814</v>
      </c>
      <c r="I92" s="19">
        <f>E92*50/C92</f>
        <v>1.5384615384615385E-2</v>
      </c>
      <c r="J92" s="85"/>
      <c r="K92" s="102" t="s">
        <v>49</v>
      </c>
    </row>
    <row r="93" spans="1:11" ht="13" thickBot="1">
      <c r="A93" s="78"/>
      <c r="B93" s="13"/>
      <c r="C93" s="22"/>
      <c r="D93" s="23"/>
      <c r="E93" s="23"/>
      <c r="F93" s="27"/>
      <c r="G93" s="23"/>
      <c r="H93" s="10"/>
      <c r="I93" s="24"/>
      <c r="J93" s="86"/>
    </row>
    <row r="94" spans="1:11">
      <c r="A94" s="103">
        <v>19</v>
      </c>
      <c r="B94" s="81">
        <f>B92+7</f>
        <v>43408</v>
      </c>
      <c r="C94" s="20">
        <f>D92+G92-H92</f>
        <v>334.43586743470894</v>
      </c>
      <c r="D94" s="17">
        <f>C94+(C94*0.03)</f>
        <v>344.46894345775019</v>
      </c>
      <c r="E94" s="17">
        <f>C94/3250</f>
        <v>0.10290334382606429</v>
      </c>
      <c r="F94" s="28">
        <f>(D94-C94)/E94</f>
        <v>97.499999999999787</v>
      </c>
      <c r="G94" s="17"/>
      <c r="H94" s="18"/>
      <c r="I94" s="19">
        <f>E94*50/C94</f>
        <v>1.5384615384615385E-2</v>
      </c>
      <c r="J94" s="85"/>
    </row>
    <row r="95" spans="1:11">
      <c r="A95" s="104"/>
      <c r="B95" s="81">
        <f>B94+7</f>
        <v>43415</v>
      </c>
      <c r="C95" s="20">
        <f>D94+G94-H94</f>
        <v>344.46894345775019</v>
      </c>
      <c r="D95" s="17">
        <f>C95+(C95*0.03)</f>
        <v>354.80301176148271</v>
      </c>
      <c r="E95" s="17">
        <f>C95/3250</f>
        <v>0.10599044414084621</v>
      </c>
      <c r="F95" s="28">
        <f>(D95-C95)/E95</f>
        <v>97.500000000000156</v>
      </c>
      <c r="G95" s="17"/>
      <c r="H95" s="18"/>
      <c r="I95" s="19">
        <f>E95*50/C95</f>
        <v>1.5384615384615385E-2</v>
      </c>
      <c r="J95" s="85"/>
    </row>
    <row r="96" spans="1:11">
      <c r="A96" s="104"/>
      <c r="B96" s="81">
        <f>B95+7</f>
        <v>43422</v>
      </c>
      <c r="C96" s="20">
        <f>D95+G95-H95</f>
        <v>354.80301176148271</v>
      </c>
      <c r="D96" s="17">
        <f>C96+(C96*0.03)</f>
        <v>365.44710211432721</v>
      </c>
      <c r="E96" s="17">
        <f>C96/3250</f>
        <v>0.1091701574650716</v>
      </c>
      <c r="F96" s="28">
        <f>(D96-C96)/E96</f>
        <v>97.500000000000185</v>
      </c>
      <c r="G96" s="17"/>
      <c r="H96" s="18"/>
      <c r="I96" s="19">
        <f>E96*50/C96</f>
        <v>1.5384615384615384E-2</v>
      </c>
      <c r="J96" s="85"/>
    </row>
    <row r="97" spans="1:11" ht="13" thickBot="1">
      <c r="A97" s="105"/>
      <c r="B97" s="81">
        <f>B96+7</f>
        <v>43429</v>
      </c>
      <c r="C97" s="20">
        <f>D96+G96-H96</f>
        <v>365.44710211432721</v>
      </c>
      <c r="D97" s="17">
        <f>C97+(C97*0.03)</f>
        <v>376.41051517775702</v>
      </c>
      <c r="E97" s="17">
        <f>C97/3250</f>
        <v>0.11244526218902376</v>
      </c>
      <c r="F97" s="28">
        <f>(D97-C97)/E97</f>
        <v>97.499999999999957</v>
      </c>
      <c r="G97" s="18"/>
      <c r="H97" s="80"/>
      <c r="I97" s="19">
        <f>E97*50/C97</f>
        <v>1.5384615384615385E-2</v>
      </c>
      <c r="J97" s="85"/>
    </row>
    <row r="98" spans="1:11" ht="13" thickBot="1">
      <c r="A98" s="78"/>
      <c r="B98" s="13"/>
      <c r="C98" s="22"/>
      <c r="D98" s="23"/>
      <c r="E98" s="23"/>
      <c r="F98" s="27"/>
      <c r="G98" s="23"/>
      <c r="H98" s="10"/>
      <c r="I98" s="24"/>
      <c r="J98" s="86"/>
    </row>
    <row r="99" spans="1:11">
      <c r="A99" s="103">
        <v>20</v>
      </c>
      <c r="B99" s="81">
        <f>B97+7</f>
        <v>43436</v>
      </c>
      <c r="C99" s="20">
        <f>D97+G97-H97</f>
        <v>376.41051517775702</v>
      </c>
      <c r="D99" s="17">
        <f>C99+(C99*0.03)</f>
        <v>387.70283063308972</v>
      </c>
      <c r="E99" s="17">
        <f>C99/3250</f>
        <v>0.11581862005469447</v>
      </c>
      <c r="F99" s="28">
        <f>(D99-C99)/E99</f>
        <v>97.499999999999886</v>
      </c>
      <c r="G99" s="18"/>
      <c r="H99" s="18"/>
      <c r="I99" s="19">
        <f>E99*50/C99</f>
        <v>1.5384615384615384E-2</v>
      </c>
      <c r="J99" s="85"/>
    </row>
    <row r="100" spans="1:11">
      <c r="A100" s="104"/>
      <c r="B100" s="81">
        <f>B99+7</f>
        <v>43443</v>
      </c>
      <c r="C100" s="20">
        <f>D99+G99-H99</f>
        <v>387.70283063308972</v>
      </c>
      <c r="D100" s="17">
        <f>C100+(C100*0.03)</f>
        <v>399.33391555208243</v>
      </c>
      <c r="E100" s="17">
        <f>C100/3250</f>
        <v>0.11929317865633529</v>
      </c>
      <c r="F100" s="28">
        <f>(D100-C100)/E100</f>
        <v>97.500000000000185</v>
      </c>
      <c r="G100" s="18"/>
      <c r="H100" s="18"/>
      <c r="I100" s="19">
        <f>E100*50/C100</f>
        <v>1.5384615384615384E-2</v>
      </c>
      <c r="J100" s="85"/>
    </row>
    <row r="101" spans="1:11">
      <c r="A101" s="104"/>
      <c r="B101" s="81">
        <f>B100+7</f>
        <v>43450</v>
      </c>
      <c r="C101" s="20">
        <f>D100+G100-H100</f>
        <v>399.33391555208243</v>
      </c>
      <c r="D101" s="17">
        <f>C101+(C101*0.03)</f>
        <v>411.31393301864489</v>
      </c>
      <c r="E101" s="17">
        <f>C101/3250</f>
        <v>0.12287197401602536</v>
      </c>
      <c r="F101" s="28">
        <f>(D101-C101)/E101</f>
        <v>97.499999999999886</v>
      </c>
      <c r="G101" s="18"/>
      <c r="H101" s="18"/>
      <c r="I101" s="19">
        <f>E101*50/C101</f>
        <v>1.5384615384615384E-2</v>
      </c>
      <c r="J101" s="85"/>
    </row>
    <row r="102" spans="1:11" ht="13" thickBot="1">
      <c r="A102" s="105"/>
      <c r="B102" s="81">
        <f>B101+7</f>
        <v>43457</v>
      </c>
      <c r="C102" s="20">
        <f>D101+G101-H101</f>
        <v>411.31393301864489</v>
      </c>
      <c r="D102" s="17">
        <f>C102+(C102*0.03)</f>
        <v>423.65335100920424</v>
      </c>
      <c r="E102" s="17">
        <f>C102/3250</f>
        <v>0.12655813323650611</v>
      </c>
      <c r="F102" s="28">
        <f>(D102-C102)/E102</f>
        <v>97.500000000000071</v>
      </c>
      <c r="G102" s="18"/>
      <c r="H102" s="80"/>
      <c r="I102" s="19">
        <f>E102*50/C102</f>
        <v>1.5384615384615382E-2</v>
      </c>
      <c r="J102" s="85"/>
    </row>
    <row r="103" spans="1:11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6"/>
    </row>
    <row r="104" spans="1:11">
      <c r="A104" s="103">
        <v>21</v>
      </c>
      <c r="B104" s="81">
        <f>B102+7</f>
        <v>43464</v>
      </c>
      <c r="C104" s="20">
        <f>D102+G102-H102</f>
        <v>423.65335100920424</v>
      </c>
      <c r="D104" s="17">
        <f>C104+(C104*0.03)</f>
        <v>436.36295153948038</v>
      </c>
      <c r="E104" s="17">
        <f>C104/3250</f>
        <v>0.13035487723360131</v>
      </c>
      <c r="F104" s="28">
        <f>(D104-C104)/E104</f>
        <v>97.500000000000043</v>
      </c>
      <c r="G104" s="18"/>
      <c r="H104" s="18"/>
      <c r="I104" s="19">
        <f>E104*50/C104</f>
        <v>1.5384615384615385E-2</v>
      </c>
      <c r="J104" s="85"/>
    </row>
    <row r="105" spans="1:11">
      <c r="A105" s="104"/>
      <c r="B105" s="81">
        <f>B104+7</f>
        <v>43471</v>
      </c>
      <c r="C105" s="20">
        <f>D104+G104-H104</f>
        <v>436.36295153948038</v>
      </c>
      <c r="D105" s="17">
        <f>C105+(C105*0.03)</f>
        <v>449.45384008566481</v>
      </c>
      <c r="E105" s="17">
        <f>C105/3250</f>
        <v>0.13426552355060933</v>
      </c>
      <c r="F105" s="28">
        <f>(D105-C105)/E105</f>
        <v>97.500000000000156</v>
      </c>
      <c r="G105" s="18"/>
      <c r="H105" s="18"/>
      <c r="I105" s="19">
        <f>E105*50/C105</f>
        <v>1.5384615384615382E-2</v>
      </c>
      <c r="J105" s="85"/>
    </row>
    <row r="106" spans="1:11">
      <c r="A106" s="104"/>
      <c r="B106" s="81">
        <f>B105+7</f>
        <v>43478</v>
      </c>
      <c r="C106" s="20">
        <f>D105+G105-H105</f>
        <v>449.45384008566481</v>
      </c>
      <c r="D106" s="17">
        <f>C106+(C106*0.03)</f>
        <v>462.93745528823473</v>
      </c>
      <c r="E106" s="17">
        <f>C106/3250</f>
        <v>0.13829348925712764</v>
      </c>
      <c r="F106" s="28">
        <f>(D106-C106)/E106</f>
        <v>97.499999999999829</v>
      </c>
      <c r="G106" s="18"/>
      <c r="H106" s="18"/>
      <c r="I106" s="19">
        <f>E106*50/C106</f>
        <v>1.5384615384615385E-2</v>
      </c>
      <c r="J106" s="85"/>
    </row>
    <row r="107" spans="1:11" ht="13.5" thickBot="1">
      <c r="A107" s="105"/>
      <c r="B107" s="81">
        <f>B106+7</f>
        <v>43485</v>
      </c>
      <c r="C107" s="20">
        <f>D106+G106-H106</f>
        <v>462.93745528823473</v>
      </c>
      <c r="D107" s="17">
        <f>C107+(C107*0.03)</f>
        <v>476.82557894688176</v>
      </c>
      <c r="E107" s="17">
        <f>C107/3250</f>
        <v>0.14244229393484145</v>
      </c>
      <c r="F107" s="28">
        <f>(D107-C107)/E107</f>
        <v>97.499999999999929</v>
      </c>
      <c r="G107" s="18"/>
      <c r="H107" s="80">
        <f>(D107-C94)*0.35</f>
        <v>49.836399029260484</v>
      </c>
      <c r="I107" s="19">
        <f>E107*50/C107</f>
        <v>1.5384615384615384E-2</v>
      </c>
      <c r="J107" s="85"/>
      <c r="K107" s="102" t="s">
        <v>49</v>
      </c>
    </row>
    <row r="108" spans="1:11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6"/>
    </row>
    <row r="109" spans="1:11">
      <c r="A109" s="103">
        <v>22</v>
      </c>
      <c r="B109" s="81">
        <f>B107+7</f>
        <v>43492</v>
      </c>
      <c r="C109" s="20">
        <f>D107+G107-H107</f>
        <v>426.9891799176213</v>
      </c>
      <c r="D109" s="17">
        <f>C109+(C109*0.03)</f>
        <v>439.79885531514992</v>
      </c>
      <c r="E109" s="17">
        <f>C109/3250</f>
        <v>0.13138128612849886</v>
      </c>
      <c r="F109" s="28">
        <f>(D109-C109)/E109</f>
        <v>97.499999999999872</v>
      </c>
      <c r="G109" s="18"/>
      <c r="H109" s="18"/>
      <c r="I109" s="19">
        <f>E109*50/C109</f>
        <v>1.5384615384615385E-2</v>
      </c>
      <c r="J109" s="85"/>
    </row>
    <row r="110" spans="1:11">
      <c r="A110" s="104"/>
      <c r="B110" s="81">
        <f>B109+7</f>
        <v>43499</v>
      </c>
      <c r="C110" s="20">
        <f>D109+G109-H109</f>
        <v>439.79885531514992</v>
      </c>
      <c r="D110" s="17">
        <f>C110+(C110*0.03)</f>
        <v>452.9928209746044</v>
      </c>
      <c r="E110" s="17">
        <f>C110/3250</f>
        <v>0.13532272471235382</v>
      </c>
      <c r="F110" s="28">
        <f>(D110-C110)/E110</f>
        <v>97.499999999999844</v>
      </c>
      <c r="G110" s="18"/>
      <c r="H110" s="18"/>
      <c r="I110" s="19">
        <f>E110*50/C110</f>
        <v>1.5384615384615384E-2</v>
      </c>
      <c r="J110" s="85"/>
    </row>
    <row r="111" spans="1:11">
      <c r="A111" s="104"/>
      <c r="B111" s="81">
        <f>B110+7</f>
        <v>43506</v>
      </c>
      <c r="C111" s="20">
        <f>D110+G110-H110</f>
        <v>452.9928209746044</v>
      </c>
      <c r="D111" s="17">
        <f>C111+(C111*0.03)</f>
        <v>466.58260560384252</v>
      </c>
      <c r="E111" s="17">
        <f>C111/3250</f>
        <v>0.13938240645372443</v>
      </c>
      <c r="F111" s="28">
        <f>(D111-C111)/E111</f>
        <v>97.499999999999943</v>
      </c>
      <c r="G111" s="18"/>
      <c r="H111" s="18"/>
      <c r="I111" s="19">
        <f>E111*50/C111</f>
        <v>1.5384615384615385E-2</v>
      </c>
      <c r="J111" s="85"/>
    </row>
    <row r="112" spans="1:11" ht="13" thickBot="1">
      <c r="A112" s="105"/>
      <c r="B112" s="81">
        <f>B111+7</f>
        <v>43513</v>
      </c>
      <c r="C112" s="20">
        <f>D111+G111-H111</f>
        <v>466.58260560384252</v>
      </c>
      <c r="D112" s="17">
        <f>C112+(C112*0.03)</f>
        <v>480.58008377195779</v>
      </c>
      <c r="E112" s="17">
        <f>C112/3250</f>
        <v>0.14356387864733616</v>
      </c>
      <c r="F112" s="28">
        <f>(D112-C112)/E112</f>
        <v>97.499999999999929</v>
      </c>
      <c r="G112" s="18"/>
      <c r="H112" s="80"/>
      <c r="I112" s="19">
        <f>E112*50/C112</f>
        <v>1.5384615384615384E-2</v>
      </c>
      <c r="J112" s="85"/>
    </row>
    <row r="113" spans="1:11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6"/>
    </row>
    <row r="114" spans="1:11">
      <c r="A114" s="103">
        <v>23</v>
      </c>
      <c r="B114" s="81">
        <f>B112+7</f>
        <v>43520</v>
      </c>
      <c r="C114" s="20">
        <f>D112+G112-H112</f>
        <v>480.58008377195779</v>
      </c>
      <c r="D114" s="17">
        <f>C114+(C114*0.03)</f>
        <v>494.99748628511651</v>
      </c>
      <c r="E114" s="17">
        <f>C114/3250</f>
        <v>0.14787079500675623</v>
      </c>
      <c r="F114" s="28">
        <f>(D114-C114)/E114</f>
        <v>97.499999999999915</v>
      </c>
      <c r="G114" s="18"/>
      <c r="H114" s="18"/>
      <c r="I114" s="19">
        <f>E114*50/C114</f>
        <v>1.5384615384615384E-2</v>
      </c>
      <c r="J114" s="85"/>
    </row>
    <row r="115" spans="1:11">
      <c r="A115" s="104"/>
      <c r="B115" s="81">
        <f>B114+7</f>
        <v>43527</v>
      </c>
      <c r="C115" s="20">
        <f>D114+G114-H114</f>
        <v>494.99748628511651</v>
      </c>
      <c r="D115" s="17">
        <f>C115+(C115*0.03)</f>
        <v>509.84741087367001</v>
      </c>
      <c r="E115" s="17">
        <f>C115/3250</f>
        <v>0.15230691885695893</v>
      </c>
      <c r="F115" s="28">
        <f>(D115-C115)/E115</f>
        <v>97.500000000000071</v>
      </c>
      <c r="G115" s="18"/>
      <c r="H115" s="18"/>
      <c r="I115" s="19">
        <f>E115*50/C115</f>
        <v>1.5384615384615385E-2</v>
      </c>
      <c r="J115" s="85"/>
    </row>
    <row r="116" spans="1:11">
      <c r="A116" s="104"/>
      <c r="B116" s="81">
        <f>B115+7</f>
        <v>43534</v>
      </c>
      <c r="C116" s="20">
        <f>D115+G115-H115</f>
        <v>509.84741087367001</v>
      </c>
      <c r="D116" s="17">
        <f>C116+(C116*0.03)</f>
        <v>525.1428331998801</v>
      </c>
      <c r="E116" s="17">
        <f>C116/3250</f>
        <v>0.15687612642266768</v>
      </c>
      <c r="F116" s="28">
        <f>(D116-C116)/E116</f>
        <v>97.499999999999915</v>
      </c>
      <c r="G116" s="18"/>
      <c r="H116" s="18"/>
      <c r="I116" s="19">
        <f>E116*50/C116</f>
        <v>1.5384615384615382E-2</v>
      </c>
      <c r="J116" s="85"/>
    </row>
    <row r="117" spans="1:11" ht="13" thickBot="1">
      <c r="A117" s="105"/>
      <c r="B117" s="81">
        <f>B116+7</f>
        <v>43541</v>
      </c>
      <c r="C117" s="20">
        <f>D116+G116-H116</f>
        <v>525.1428331998801</v>
      </c>
      <c r="D117" s="17">
        <f>C117+(C117*0.03)</f>
        <v>540.89711819587649</v>
      </c>
      <c r="E117" s="17">
        <f>C117/3250</f>
        <v>0.16158241021534772</v>
      </c>
      <c r="F117" s="28">
        <f>(D117-C117)/E117</f>
        <v>97.499999999999901</v>
      </c>
      <c r="G117" s="18"/>
      <c r="H117" s="80"/>
      <c r="I117" s="19">
        <f>E117*50/C117</f>
        <v>1.5384615384615384E-2</v>
      </c>
      <c r="J117" s="85"/>
    </row>
    <row r="118" spans="1:11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6"/>
    </row>
    <row r="119" spans="1:11">
      <c r="A119" s="103">
        <v>24</v>
      </c>
      <c r="B119" s="81">
        <f>B117+7</f>
        <v>43548</v>
      </c>
      <c r="C119" s="20">
        <f>D117+G117-H117</f>
        <v>540.89711819587649</v>
      </c>
      <c r="D119" s="17">
        <f>C119+(C119*0.03)</f>
        <v>557.12403174175279</v>
      </c>
      <c r="E119" s="17">
        <f>C119/3250</f>
        <v>0.16642988252180815</v>
      </c>
      <c r="F119" s="28">
        <f>(D119-C119)/E119</f>
        <v>97.500000000000028</v>
      </c>
      <c r="G119" s="18"/>
      <c r="H119" s="18"/>
      <c r="I119" s="19">
        <f>E119*50/C119</f>
        <v>1.5384615384615384E-2</v>
      </c>
      <c r="J119" s="85"/>
    </row>
    <row r="120" spans="1:11">
      <c r="A120" s="104"/>
      <c r="B120" s="81">
        <f>B119+7</f>
        <v>43555</v>
      </c>
      <c r="C120" s="20">
        <f>D119+G119-H119</f>
        <v>557.12403174175279</v>
      </c>
      <c r="D120" s="17">
        <f>C120+(C120*0.03)</f>
        <v>573.83775269400542</v>
      </c>
      <c r="E120" s="17">
        <f>C120/3250</f>
        <v>0.17142277899746239</v>
      </c>
      <c r="F120" s="28">
        <f>(D120-C120)/E120</f>
        <v>97.50000000000027</v>
      </c>
      <c r="G120" s="18"/>
      <c r="H120" s="18"/>
      <c r="I120" s="19">
        <f>E120*50/C120</f>
        <v>1.5384615384615385E-2</v>
      </c>
      <c r="J120" s="85"/>
    </row>
    <row r="121" spans="1:11">
      <c r="A121" s="104"/>
      <c r="B121" s="81">
        <f>B120+7</f>
        <v>43562</v>
      </c>
      <c r="C121" s="20">
        <f>D120+G120-H120</f>
        <v>573.83775269400542</v>
      </c>
      <c r="D121" s="17">
        <f>C121+(C121*0.03)</f>
        <v>591.0528852748256</v>
      </c>
      <c r="E121" s="17">
        <f>C121/3250</f>
        <v>0.17656546236738629</v>
      </c>
      <c r="F121" s="28">
        <f>(D121-C121)/E121</f>
        <v>97.500000000000099</v>
      </c>
      <c r="G121" s="18"/>
      <c r="H121" s="18"/>
      <c r="I121" s="19">
        <f>E121*50/C121</f>
        <v>1.5384615384615387E-2</v>
      </c>
      <c r="J121" s="85"/>
    </row>
    <row r="122" spans="1:11" ht="13.5" thickBot="1">
      <c r="A122" s="105"/>
      <c r="B122" s="81">
        <f>B121+7</f>
        <v>43569</v>
      </c>
      <c r="C122" s="20">
        <f>D121+G121-H121</f>
        <v>591.0528852748256</v>
      </c>
      <c r="D122" s="17">
        <f>C122+(C122*0.03)</f>
        <v>608.78447183307037</v>
      </c>
      <c r="E122" s="17">
        <f>C122/3250</f>
        <v>0.18186242623840787</v>
      </c>
      <c r="F122" s="28">
        <f>(D122-C122)/E122</f>
        <v>97.500000000000028</v>
      </c>
      <c r="G122" s="18"/>
      <c r="H122" s="80">
        <f>(D122-C109)*0.35</f>
        <v>63.628352170407169</v>
      </c>
      <c r="I122" s="19">
        <f>E122*50/C122</f>
        <v>1.5384615384615384E-2</v>
      </c>
      <c r="J122" s="85"/>
      <c r="K122" s="102" t="s">
        <v>49</v>
      </c>
    </row>
    <row r="123" spans="1:11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6"/>
    </row>
    <row r="124" spans="1:11">
      <c r="A124" s="103">
        <v>25</v>
      </c>
      <c r="B124" s="81">
        <f>B122+7</f>
        <v>43576</v>
      </c>
      <c r="C124" s="20">
        <f>D122+G122-H122</f>
        <v>545.15611966266317</v>
      </c>
      <c r="D124" s="17">
        <f>C124+(C124*0.03)</f>
        <v>561.51080325254304</v>
      </c>
      <c r="E124" s="17">
        <f>C124/3250</f>
        <v>0.16774034451158867</v>
      </c>
      <c r="F124" s="28">
        <f>(D124-C124)/E124</f>
        <v>97.499999999999844</v>
      </c>
      <c r="G124" s="17"/>
      <c r="H124" s="18"/>
      <c r="I124" s="19">
        <f>E124*50/C124</f>
        <v>1.5384615384615387E-2</v>
      </c>
      <c r="J124" s="85"/>
    </row>
    <row r="125" spans="1:11">
      <c r="A125" s="104"/>
      <c r="B125" s="81">
        <f>B124+7</f>
        <v>43583</v>
      </c>
      <c r="C125" s="20">
        <f>D124+G124-H124</f>
        <v>561.51080325254304</v>
      </c>
      <c r="D125" s="17">
        <f>C125+(C125*0.03)</f>
        <v>578.35612735011932</v>
      </c>
      <c r="E125" s="17">
        <f>C125/3250</f>
        <v>0.17277255484693632</v>
      </c>
      <c r="F125" s="28">
        <f>(D125-C125)/E125</f>
        <v>97.499999999999943</v>
      </c>
      <c r="G125" s="17"/>
      <c r="H125" s="18"/>
      <c r="I125" s="19">
        <f>E125*50/C125</f>
        <v>1.5384615384615385E-2</v>
      </c>
      <c r="J125" s="85"/>
    </row>
    <row r="126" spans="1:11">
      <c r="A126" s="104"/>
      <c r="B126" s="81">
        <f>B125+7</f>
        <v>43590</v>
      </c>
      <c r="C126" s="20">
        <f>D125+G125-H125</f>
        <v>578.35612735011932</v>
      </c>
      <c r="D126" s="17">
        <f>C126+(C126*0.03)</f>
        <v>595.70681117062293</v>
      </c>
      <c r="E126" s="17">
        <f>C126/3250</f>
        <v>0.17795573149234439</v>
      </c>
      <c r="F126" s="28">
        <f>(D126-C126)/E126</f>
        <v>97.500000000000142</v>
      </c>
      <c r="G126" s="17"/>
      <c r="H126" s="18"/>
      <c r="I126" s="19">
        <f>E126*50/C126</f>
        <v>1.5384615384615384E-2</v>
      </c>
      <c r="J126" s="85"/>
    </row>
    <row r="127" spans="1:11" ht="13" thickBot="1">
      <c r="A127" s="105"/>
      <c r="B127" s="81">
        <f>B126+7</f>
        <v>43597</v>
      </c>
      <c r="C127" s="20">
        <f>D126+G126-H126</f>
        <v>595.70681117062293</v>
      </c>
      <c r="D127" s="17">
        <f>C127+(C127*0.03)</f>
        <v>613.57801550574163</v>
      </c>
      <c r="E127" s="17">
        <f>C127/3250</f>
        <v>0.18329440343711476</v>
      </c>
      <c r="F127" s="28">
        <f>(D127-C127)/E127</f>
        <v>97.500000000000085</v>
      </c>
      <c r="G127" s="18"/>
      <c r="H127" s="80"/>
      <c r="I127" s="19">
        <f>E127*50/C127</f>
        <v>1.5384615384615385E-2</v>
      </c>
      <c r="J127" s="85"/>
    </row>
    <row r="128" spans="1:11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6"/>
    </row>
    <row r="129" spans="1:11">
      <c r="A129" s="103">
        <v>26</v>
      </c>
      <c r="B129" s="81">
        <f>B127+7</f>
        <v>43604</v>
      </c>
      <c r="C129" s="20">
        <f>D127+G127-H127</f>
        <v>613.57801550574163</v>
      </c>
      <c r="D129" s="17">
        <f>C129+(C129*0.03)</f>
        <v>631.98535597091393</v>
      </c>
      <c r="E129" s="17">
        <f>C129/3250</f>
        <v>0.1887932355402282</v>
      </c>
      <c r="F129" s="28">
        <f>(D129-C129)/E129</f>
        <v>97.500000000000256</v>
      </c>
      <c r="G129" s="18"/>
      <c r="H129" s="18"/>
      <c r="I129" s="19">
        <f>E129*50/C129</f>
        <v>1.5384615384615384E-2</v>
      </c>
      <c r="J129" s="85"/>
    </row>
    <row r="130" spans="1:11">
      <c r="A130" s="104"/>
      <c r="B130" s="81">
        <f>B129+7</f>
        <v>43611</v>
      </c>
      <c r="C130" s="20">
        <f>D129+G129-H129</f>
        <v>631.98535597091393</v>
      </c>
      <c r="D130" s="17">
        <f>C130+(C130*0.03)</f>
        <v>650.94491665004136</v>
      </c>
      <c r="E130" s="17">
        <f>C130/3250</f>
        <v>0.19445703260643504</v>
      </c>
      <c r="F130" s="28">
        <f>(D130-C130)/E130</f>
        <v>97.500000000000099</v>
      </c>
      <c r="G130" s="18"/>
      <c r="H130" s="18"/>
      <c r="I130" s="19">
        <f>E130*50/C130</f>
        <v>1.5384615384615384E-2</v>
      </c>
      <c r="J130" s="85"/>
    </row>
    <row r="131" spans="1:11">
      <c r="A131" s="104"/>
      <c r="B131" s="81">
        <f>B130+7</f>
        <v>43618</v>
      </c>
      <c r="C131" s="20">
        <f>D130+G130-H130</f>
        <v>650.94491665004136</v>
      </c>
      <c r="D131" s="17">
        <f>C131+(C131*0.03)</f>
        <v>670.47326414954262</v>
      </c>
      <c r="E131" s="17">
        <f>C131/3250</f>
        <v>0.20029074358462812</v>
      </c>
      <c r="F131" s="28">
        <f>(D131-C131)/E131</f>
        <v>97.500000000000043</v>
      </c>
      <c r="G131" s="18"/>
      <c r="H131" s="18"/>
      <c r="I131" s="19">
        <f>E131*50/C131</f>
        <v>1.5384615384615384E-2</v>
      </c>
      <c r="J131" s="85"/>
    </row>
    <row r="132" spans="1:11" ht="13" thickBot="1">
      <c r="A132" s="105"/>
      <c r="B132" s="81">
        <f>B131+7</f>
        <v>43625</v>
      </c>
      <c r="C132" s="20">
        <f>D131+G131-H131</f>
        <v>670.47326414954262</v>
      </c>
      <c r="D132" s="17">
        <f>C132+(C132*0.03)</f>
        <v>690.58746207402885</v>
      </c>
      <c r="E132" s="17">
        <f>C132/3250</f>
        <v>0.20629946589216697</v>
      </c>
      <c r="F132" s="28">
        <f>(D132-C132)/E132</f>
        <v>97.499999999999787</v>
      </c>
      <c r="G132" s="18"/>
      <c r="H132" s="80"/>
      <c r="I132" s="19">
        <f>E132*50/C132</f>
        <v>1.5384615384615385E-2</v>
      </c>
      <c r="J132" s="85"/>
    </row>
    <row r="133" spans="1:11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6"/>
    </row>
    <row r="134" spans="1:11">
      <c r="A134" s="103">
        <v>27</v>
      </c>
      <c r="B134" s="81">
        <f>B132+7</f>
        <v>43632</v>
      </c>
      <c r="C134" s="20">
        <f>D132+G132-H132</f>
        <v>690.58746207402885</v>
      </c>
      <c r="D134" s="17">
        <f>C134+(C134*0.03)</f>
        <v>711.30508593624972</v>
      </c>
      <c r="E134" s="17">
        <f>C134/3250</f>
        <v>0.21248844986893195</v>
      </c>
      <c r="F134" s="28">
        <f>(D134-C134)/E134</f>
        <v>97.500000000000057</v>
      </c>
      <c r="G134" s="18"/>
      <c r="H134" s="18"/>
      <c r="I134" s="19">
        <f>E134*50/C134</f>
        <v>1.5384615384615385E-2</v>
      </c>
      <c r="J134" s="85"/>
    </row>
    <row r="135" spans="1:11">
      <c r="A135" s="104"/>
      <c r="B135" s="81">
        <f>B134+7</f>
        <v>43639</v>
      </c>
      <c r="C135" s="20">
        <f>D134+G134-H134</f>
        <v>711.30508593624972</v>
      </c>
      <c r="D135" s="17">
        <f>C135+(C135*0.03)</f>
        <v>732.64423851433719</v>
      </c>
      <c r="E135" s="17">
        <f>C135/3250</f>
        <v>0.21886310336499992</v>
      </c>
      <c r="F135" s="28">
        <f>(D135-C135)/E135</f>
        <v>97.499999999999872</v>
      </c>
      <c r="G135" s="18"/>
      <c r="H135" s="18"/>
      <c r="I135" s="19">
        <f>E135*50/C135</f>
        <v>1.5384615384615385E-2</v>
      </c>
      <c r="J135" s="85"/>
    </row>
    <row r="136" spans="1:11">
      <c r="A136" s="104"/>
      <c r="B136" s="81">
        <f>B135+7</f>
        <v>43646</v>
      </c>
      <c r="C136" s="20">
        <f>D135+G135-H135</f>
        <v>732.64423851433719</v>
      </c>
      <c r="D136" s="17">
        <f>C136+(C136*0.03)</f>
        <v>754.62356566976734</v>
      </c>
      <c r="E136" s="17">
        <f>C136/3250</f>
        <v>0.22542899646594991</v>
      </c>
      <c r="F136" s="28">
        <f>(D136-C136)/E136</f>
        <v>97.500000000000171</v>
      </c>
      <c r="G136" s="18"/>
      <c r="H136" s="18"/>
      <c r="I136" s="19">
        <f>E136*50/C136</f>
        <v>1.5384615384615384E-2</v>
      </c>
      <c r="J136" s="85"/>
    </row>
    <row r="137" spans="1:11" ht="13.5" thickBot="1">
      <c r="A137" s="105"/>
      <c r="B137" s="81">
        <f>B136+7</f>
        <v>43653</v>
      </c>
      <c r="C137" s="20">
        <f>D136+G136-H136</f>
        <v>754.62356566976734</v>
      </c>
      <c r="D137" s="17">
        <f>C137+(C137*0.03)</f>
        <v>777.26227263986038</v>
      </c>
      <c r="E137" s="17">
        <f>C137/3250</f>
        <v>0.23219186635992842</v>
      </c>
      <c r="F137" s="28">
        <f>(D137-C137)/E137</f>
        <v>97.500000000000085</v>
      </c>
      <c r="G137" s="18"/>
      <c r="H137" s="80">
        <f>(D137-C124)*0.35</f>
        <v>81.237153542019016</v>
      </c>
      <c r="I137" s="19">
        <f>E137*50/C137</f>
        <v>1.5384615384615384E-2</v>
      </c>
      <c r="J137" s="85"/>
      <c r="K137" s="102" t="s">
        <v>49</v>
      </c>
    </row>
    <row r="138" spans="1:11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89"/>
    </row>
    <row r="139" spans="1:11">
      <c r="A139" s="103">
        <v>28</v>
      </c>
      <c r="B139" s="81">
        <f>B137+7</f>
        <v>43660</v>
      </c>
      <c r="C139" s="20">
        <f>D137+G137-H137</f>
        <v>696.02511909784141</v>
      </c>
      <c r="D139" s="17">
        <f>C139+(C139*0.03)</f>
        <v>716.9058726707766</v>
      </c>
      <c r="E139" s="17">
        <f>C139/3250</f>
        <v>0.21416157510702813</v>
      </c>
      <c r="F139" s="28">
        <f>(D139-C139)/E139</f>
        <v>97.499999999999758</v>
      </c>
      <c r="G139" s="18"/>
      <c r="H139" s="18"/>
      <c r="I139" s="19">
        <f>E139*50/C139</f>
        <v>1.5384615384615385E-2</v>
      </c>
      <c r="J139" s="85"/>
    </row>
    <row r="140" spans="1:11">
      <c r="A140" s="104"/>
      <c r="B140" s="81">
        <f>B139+7</f>
        <v>43667</v>
      </c>
      <c r="C140" s="20">
        <f>D139+G139-H139</f>
        <v>716.9058726707766</v>
      </c>
      <c r="D140" s="17">
        <f>C140+(C140*0.03)</f>
        <v>738.41304885089994</v>
      </c>
      <c r="E140" s="17">
        <f>C140/3250</f>
        <v>0.22058642236023895</v>
      </c>
      <c r="F140" s="28">
        <f>(D140-C140)/E140</f>
        <v>97.500000000000185</v>
      </c>
      <c r="G140" s="18"/>
      <c r="H140" s="18"/>
      <c r="I140" s="19">
        <f>E140*50/C140</f>
        <v>1.5384615384615385E-2</v>
      </c>
      <c r="J140" s="85"/>
    </row>
    <row r="141" spans="1:11">
      <c r="A141" s="104"/>
      <c r="B141" s="81">
        <f>B140+7</f>
        <v>43674</v>
      </c>
      <c r="C141" s="20">
        <f>D140+G140-H140</f>
        <v>738.41304885089994</v>
      </c>
      <c r="D141" s="17">
        <f>C141+(C141*0.03)</f>
        <v>760.56544031642693</v>
      </c>
      <c r="E141" s="17">
        <f>C141/3250</f>
        <v>0.22720401503104615</v>
      </c>
      <c r="F141" s="28">
        <f>(D141-C141)/E141</f>
        <v>97.499999999999957</v>
      </c>
      <c r="G141" s="18"/>
      <c r="H141" s="18"/>
      <c r="I141" s="19">
        <f>E141*50/C141</f>
        <v>1.5384615384615385E-2</v>
      </c>
      <c r="J141" s="85"/>
    </row>
    <row r="142" spans="1:11" ht="13" thickBot="1">
      <c r="A142" s="105"/>
      <c r="B142" s="81">
        <f>B141+7</f>
        <v>43681</v>
      </c>
      <c r="C142" s="20">
        <f>D141+G141-H141</f>
        <v>760.56544031642693</v>
      </c>
      <c r="D142" s="17">
        <f>C142+(C142*0.03)</f>
        <v>783.3824035259197</v>
      </c>
      <c r="E142" s="17">
        <f>C142/3250</f>
        <v>0.2340201354819775</v>
      </c>
      <c r="F142" s="28">
        <f>(D142-C142)/E142</f>
        <v>97.499999999999844</v>
      </c>
      <c r="G142" s="18"/>
      <c r="H142" s="80"/>
      <c r="I142" s="19">
        <f>E142*50/C142</f>
        <v>1.5384615384615384E-2</v>
      </c>
      <c r="J142" s="85"/>
    </row>
    <row r="143" spans="1:11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6"/>
    </row>
    <row r="144" spans="1:11">
      <c r="A144" s="103">
        <v>29</v>
      </c>
      <c r="B144" s="81">
        <f>B142+7</f>
        <v>43688</v>
      </c>
      <c r="C144" s="20">
        <f>D142+G142-H142</f>
        <v>783.3824035259197</v>
      </c>
      <c r="D144" s="17">
        <f>C144+(C144*0.03)</f>
        <v>806.88387563169726</v>
      </c>
      <c r="E144" s="17">
        <f>C144/3250</f>
        <v>0.24104073954643684</v>
      </c>
      <c r="F144" s="28">
        <f>(D144-C144)/E144</f>
        <v>97.499999999999886</v>
      </c>
      <c r="G144" s="18"/>
      <c r="H144" s="18"/>
      <c r="I144" s="19">
        <f>E144*50/C144</f>
        <v>1.5384615384615385E-2</v>
      </c>
      <c r="J144" s="85"/>
    </row>
    <row r="145" spans="1:11">
      <c r="A145" s="104"/>
      <c r="B145" s="81">
        <f>B144+7</f>
        <v>43695</v>
      </c>
      <c r="C145" s="20">
        <f>D144+G144-H144</f>
        <v>806.88387563169726</v>
      </c>
      <c r="D145" s="17">
        <f>C145+(C145*0.03)</f>
        <v>831.09039190064823</v>
      </c>
      <c r="E145" s="17">
        <f>C145/3250</f>
        <v>0.24827196173282992</v>
      </c>
      <c r="F145" s="28">
        <f>(D145-C145)/E145</f>
        <v>97.500000000000185</v>
      </c>
      <c r="G145" s="18"/>
      <c r="H145" s="18"/>
      <c r="I145" s="19">
        <f>E145*50/C145</f>
        <v>1.5384615384615384E-2</v>
      </c>
      <c r="J145" s="85"/>
    </row>
    <row r="146" spans="1:11">
      <c r="A146" s="104"/>
      <c r="B146" s="81">
        <f>B145+7</f>
        <v>43702</v>
      </c>
      <c r="C146" s="20">
        <f>D145+G145-H145</f>
        <v>831.09039190064823</v>
      </c>
      <c r="D146" s="17">
        <f>C146+(C146*0.03)</f>
        <v>856.02310365766766</v>
      </c>
      <c r="E146" s="17">
        <f>C146/3250</f>
        <v>0.25572012058481486</v>
      </c>
      <c r="F146" s="28">
        <f>(D146-C146)/E146</f>
        <v>97.499999999999943</v>
      </c>
      <c r="G146" s="18"/>
      <c r="H146" s="18"/>
      <c r="I146" s="19">
        <f>E146*50/C146</f>
        <v>1.5384615384615387E-2</v>
      </c>
      <c r="J146" s="85"/>
    </row>
    <row r="147" spans="1:11" ht="13" thickBot="1">
      <c r="A147" s="105"/>
      <c r="B147" s="81">
        <f>B146+7</f>
        <v>43709</v>
      </c>
      <c r="C147" s="20">
        <f>D146+G146-H146</f>
        <v>856.02310365766766</v>
      </c>
      <c r="D147" s="17">
        <f>C147+(C147*0.03)</f>
        <v>881.70379676739765</v>
      </c>
      <c r="E147" s="17">
        <f>C147/3250</f>
        <v>0.26339172420235929</v>
      </c>
      <c r="F147" s="28">
        <f>(D147-C147)/E147</f>
        <v>97.499999999999829</v>
      </c>
      <c r="G147" s="18"/>
      <c r="H147" s="80"/>
      <c r="I147" s="19">
        <f>E147*50/C147</f>
        <v>1.5384615384615385E-2</v>
      </c>
      <c r="J147" s="85"/>
    </row>
    <row r="148" spans="1:11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6"/>
    </row>
    <row r="149" spans="1:11">
      <c r="A149" s="103">
        <v>30</v>
      </c>
      <c r="B149" s="81">
        <f>B147+7</f>
        <v>43716</v>
      </c>
      <c r="C149" s="20">
        <f>D147+G147-H147</f>
        <v>881.70379676739765</v>
      </c>
      <c r="D149" s="17">
        <f>C149+(C149*0.03)</f>
        <v>908.15491067041955</v>
      </c>
      <c r="E149" s="17">
        <f>C149/3250</f>
        <v>0.27129347592843006</v>
      </c>
      <c r="F149" s="28">
        <f>(D149-C149)/E149</f>
        <v>97.499999999999901</v>
      </c>
      <c r="G149" s="18"/>
      <c r="H149" s="18"/>
      <c r="I149" s="19">
        <f>E149*50/C149</f>
        <v>1.5384615384615387E-2</v>
      </c>
      <c r="J149" s="85"/>
    </row>
    <row r="150" spans="1:11">
      <c r="A150" s="104"/>
      <c r="B150" s="81">
        <f>B149+7</f>
        <v>43723</v>
      </c>
      <c r="C150" s="20">
        <f>D149+G149-H149</f>
        <v>908.15491067041955</v>
      </c>
      <c r="D150" s="17">
        <f>C150+(C150*0.03)</f>
        <v>935.39955799053212</v>
      </c>
      <c r="E150" s="17">
        <f>C150/3250</f>
        <v>0.27943228020628291</v>
      </c>
      <c r="F150" s="28">
        <f>(D150-C150)/E150</f>
        <v>97.499999999999929</v>
      </c>
      <c r="G150" s="18"/>
      <c r="H150" s="18"/>
      <c r="I150" s="19">
        <f>E150*50/C150</f>
        <v>1.5384615384615382E-2</v>
      </c>
      <c r="J150" s="85"/>
    </row>
    <row r="151" spans="1:11">
      <c r="A151" s="104"/>
      <c r="B151" s="81">
        <f>B150+7</f>
        <v>43730</v>
      </c>
      <c r="C151" s="20">
        <f>D150+G150-H150</f>
        <v>935.39955799053212</v>
      </c>
      <c r="D151" s="17">
        <f>C151+(C151*0.03)</f>
        <v>963.46154473024808</v>
      </c>
      <c r="E151" s="17">
        <f>C151/3250</f>
        <v>0.28781524861247143</v>
      </c>
      <c r="F151" s="28">
        <f>(D151-C151)/E151</f>
        <v>97.499999999999986</v>
      </c>
      <c r="G151" s="18"/>
      <c r="H151" s="18"/>
      <c r="I151" s="19">
        <f>E151*50/C151</f>
        <v>1.5384615384615385E-2</v>
      </c>
      <c r="J151" s="85"/>
    </row>
    <row r="152" spans="1:11" ht="13.5" thickBot="1">
      <c r="A152" s="105"/>
      <c r="B152" s="81">
        <f>B151+7</f>
        <v>43737</v>
      </c>
      <c r="C152" s="20">
        <f>D151+G151-H151</f>
        <v>963.46154473024808</v>
      </c>
      <c r="D152" s="17">
        <f>C152+(C152*0.03)</f>
        <v>992.36539107215549</v>
      </c>
      <c r="E152" s="17">
        <f>C152/3250</f>
        <v>0.29644970607084559</v>
      </c>
      <c r="F152" s="28">
        <f>(D152-C152)/E152</f>
        <v>97.499999999999886</v>
      </c>
      <c r="G152" s="18"/>
      <c r="H152" s="80">
        <f>(D152-C139)*0.35</f>
        <v>103.71909519100993</v>
      </c>
      <c r="I152" s="19">
        <f>E152*50/C152</f>
        <v>1.5384615384615385E-2</v>
      </c>
      <c r="J152" s="85"/>
      <c r="K152" s="102" t="s">
        <v>49</v>
      </c>
    </row>
    <row r="153" spans="1:11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6"/>
    </row>
    <row r="154" spans="1:11">
      <c r="A154" s="103">
        <v>31</v>
      </c>
      <c r="B154" s="81">
        <f>B152+7</f>
        <v>43744</v>
      </c>
      <c r="C154" s="20">
        <f>D152+G152-H152</f>
        <v>888.64629588114553</v>
      </c>
      <c r="D154" s="17">
        <f>C154+(C154*0.03)</f>
        <v>915.30568475757991</v>
      </c>
      <c r="E154" s="17">
        <f>C154/3250</f>
        <v>0.27342962950189093</v>
      </c>
      <c r="F154" s="28">
        <f>(D154-C154)/E154</f>
        <v>97.500000000000043</v>
      </c>
      <c r="G154" s="17"/>
      <c r="H154" s="79"/>
      <c r="I154" s="19">
        <f>E154*50/C154</f>
        <v>1.5384615384615385E-2</v>
      </c>
      <c r="J154" s="85"/>
    </row>
    <row r="155" spans="1:11">
      <c r="A155" s="104"/>
      <c r="B155" s="81">
        <f>B154+7</f>
        <v>43751</v>
      </c>
      <c r="C155" s="20">
        <f>D154+G154-H154</f>
        <v>915.30568475757991</v>
      </c>
      <c r="D155" s="17">
        <f>C155+(C155*0.03)</f>
        <v>942.76485530030732</v>
      </c>
      <c r="E155" s="17">
        <f>C155/3250</f>
        <v>0.28163251838694764</v>
      </c>
      <c r="F155" s="28">
        <f>(D155-C155)/E155</f>
        <v>97.500000000000043</v>
      </c>
      <c r="G155" s="17"/>
      <c r="H155" s="79"/>
      <c r="I155" s="19">
        <f>E155*50/C155</f>
        <v>1.5384615384615382E-2</v>
      </c>
      <c r="J155" s="85"/>
    </row>
    <row r="156" spans="1:11">
      <c r="A156" s="104"/>
      <c r="B156" s="81">
        <f>B155+7</f>
        <v>43758</v>
      </c>
      <c r="C156" s="20">
        <f>D155+G155-H155</f>
        <v>942.76485530030732</v>
      </c>
      <c r="D156" s="17">
        <f>C156+(C156*0.03)</f>
        <v>971.04780095931653</v>
      </c>
      <c r="E156" s="17">
        <f>C156/3250</f>
        <v>0.29008149393855609</v>
      </c>
      <c r="F156" s="28">
        <f>(D156-C156)/E156</f>
        <v>97.499999999999986</v>
      </c>
      <c r="G156" s="17"/>
      <c r="H156" s="79"/>
      <c r="I156" s="19">
        <f>E156*50/C156</f>
        <v>1.5384615384615385E-2</v>
      </c>
      <c r="J156" s="85"/>
    </row>
    <row r="157" spans="1:11" ht="13" thickBot="1">
      <c r="A157" s="105"/>
      <c r="B157" s="81">
        <f>B156+7</f>
        <v>43765</v>
      </c>
      <c r="C157" s="20">
        <f>D156+G156-H156</f>
        <v>971.04780095931653</v>
      </c>
      <c r="D157" s="17">
        <f>C157+(C157*0.03)</f>
        <v>1000.179234988096</v>
      </c>
      <c r="E157" s="17">
        <f>C157/3250</f>
        <v>0.29878393875671277</v>
      </c>
      <c r="F157" s="28">
        <f>(D157-C157)/E157</f>
        <v>97.5</v>
      </c>
      <c r="G157" s="18"/>
      <c r="H157" s="80"/>
      <c r="I157" s="19">
        <f>E157*50/C157</f>
        <v>1.5384615384615385E-2</v>
      </c>
      <c r="J157" s="85"/>
    </row>
    <row r="158" spans="1:11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6"/>
    </row>
    <row r="159" spans="1:11">
      <c r="A159" s="103">
        <v>32</v>
      </c>
      <c r="B159" s="81">
        <f>B157+7</f>
        <v>43772</v>
      </c>
      <c r="C159" s="20">
        <f>D157+G157-H157</f>
        <v>1000.179234988096</v>
      </c>
      <c r="D159" s="17">
        <f>C159+(C159*0.03)</f>
        <v>1030.1846120377388</v>
      </c>
      <c r="E159" s="17">
        <f>C159/3250</f>
        <v>0.30774745691941419</v>
      </c>
      <c r="F159" s="28">
        <f>(D159-C159)/E159</f>
        <v>97.499999999999687</v>
      </c>
      <c r="G159" s="18"/>
      <c r="H159" s="18"/>
      <c r="I159" s="19">
        <f>E159*50/C159</f>
        <v>1.5384615384615385E-2</v>
      </c>
      <c r="J159" s="85"/>
    </row>
    <row r="160" spans="1:11">
      <c r="A160" s="104"/>
      <c r="B160" s="81">
        <f>B159+7</f>
        <v>43779</v>
      </c>
      <c r="C160" s="20">
        <f>D159+G159-H159</f>
        <v>1030.1846120377388</v>
      </c>
      <c r="D160" s="17">
        <f>C160+(C160*0.03)</f>
        <v>1061.0901503988709</v>
      </c>
      <c r="E160" s="17">
        <f>C160/3250</f>
        <v>0.31697988062699656</v>
      </c>
      <c r="F160" s="28">
        <f>(D160-C160)/E160</f>
        <v>97.499999999999886</v>
      </c>
      <c r="G160" s="18"/>
      <c r="H160" s="18"/>
      <c r="I160" s="19">
        <f>E160*50/C160</f>
        <v>1.5384615384615385E-2</v>
      </c>
      <c r="J160" s="85"/>
    </row>
    <row r="161" spans="1:11">
      <c r="A161" s="104"/>
      <c r="B161" s="81">
        <f>B160+7</f>
        <v>43786</v>
      </c>
      <c r="C161" s="20">
        <f>D160+G160-H160</f>
        <v>1061.0901503988709</v>
      </c>
      <c r="D161" s="17">
        <f>C161+(C161*0.03)</f>
        <v>1092.922854910837</v>
      </c>
      <c r="E161" s="17">
        <f>C161/3250</f>
        <v>0.32648927704580644</v>
      </c>
      <c r="F161" s="28">
        <f>(D161-C161)/E161</f>
        <v>97.499999999999872</v>
      </c>
      <c r="G161" s="18"/>
      <c r="H161" s="18"/>
      <c r="I161" s="19">
        <f>E161*50/C161</f>
        <v>1.5384615384615384E-2</v>
      </c>
      <c r="J161" s="85"/>
    </row>
    <row r="162" spans="1:11" ht="13" thickBot="1">
      <c r="A162" s="105"/>
      <c r="B162" s="81">
        <f>B161+7</f>
        <v>43793</v>
      </c>
      <c r="C162" s="20">
        <f>D161+G161-H161</f>
        <v>1092.922854910837</v>
      </c>
      <c r="D162" s="17">
        <f>C162+(C162*0.03)</f>
        <v>1125.7105405581622</v>
      </c>
      <c r="E162" s="17">
        <f>C162/3250</f>
        <v>0.33628395535718064</v>
      </c>
      <c r="F162" s="28">
        <f>(D162-C162)/E162</f>
        <v>97.500000000000057</v>
      </c>
      <c r="G162" s="18"/>
      <c r="H162" s="80"/>
      <c r="I162" s="19">
        <f>E162*50/C162</f>
        <v>1.5384615384615385E-2</v>
      </c>
      <c r="J162" s="85"/>
    </row>
    <row r="163" spans="1:11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6"/>
    </row>
    <row r="164" spans="1:11">
      <c r="A164" s="103">
        <v>33</v>
      </c>
      <c r="B164" s="81">
        <f>B162+7</f>
        <v>43800</v>
      </c>
      <c r="C164" s="20">
        <f>D162+G162-H162</f>
        <v>1125.7105405581622</v>
      </c>
      <c r="D164" s="17">
        <f>C164+(C164*0.03)</f>
        <v>1159.4818567749071</v>
      </c>
      <c r="E164" s="17">
        <f>C164/3250</f>
        <v>0.34637247401789606</v>
      </c>
      <c r="F164" s="28">
        <f>(D164-C164)/E164</f>
        <v>97.500000000000199</v>
      </c>
      <c r="G164" s="18"/>
      <c r="H164" s="18"/>
      <c r="I164" s="19">
        <f>E164*50/C164</f>
        <v>1.5384615384615385E-2</v>
      </c>
      <c r="J164" s="85"/>
    </row>
    <row r="165" spans="1:11">
      <c r="A165" s="104"/>
      <c r="B165" s="81">
        <f>B164+7</f>
        <v>43807</v>
      </c>
      <c r="C165" s="20">
        <f>D164+G164-H164</f>
        <v>1159.4818567749071</v>
      </c>
      <c r="D165" s="17">
        <f>C165+(C165*0.03)</f>
        <v>1194.2663124781543</v>
      </c>
      <c r="E165" s="17">
        <f>C165/3250</f>
        <v>0.35676364823843293</v>
      </c>
      <c r="F165" s="28">
        <f>(D165-C165)/E165</f>
        <v>97.499999999999986</v>
      </c>
      <c r="G165" s="18"/>
      <c r="H165" s="18"/>
      <c r="I165" s="19">
        <f>E165*50/C165</f>
        <v>1.5384615384615384E-2</v>
      </c>
      <c r="J165" s="85"/>
    </row>
    <row r="166" spans="1:11">
      <c r="A166" s="104"/>
      <c r="B166" s="81">
        <f>B165+7</f>
        <v>43814</v>
      </c>
      <c r="C166" s="20">
        <f>D165+G165-H165</f>
        <v>1194.2663124781543</v>
      </c>
      <c r="D166" s="17">
        <f>C166+(C166*0.03)</f>
        <v>1230.094301852499</v>
      </c>
      <c r="E166" s="17">
        <f>C166/3250</f>
        <v>0.36746655768558595</v>
      </c>
      <c r="F166" s="28">
        <f>(D166-C166)/E166</f>
        <v>97.500000000000256</v>
      </c>
      <c r="G166" s="18"/>
      <c r="H166" s="18"/>
      <c r="I166" s="19">
        <f>E166*50/C166</f>
        <v>1.5384615384615385E-2</v>
      </c>
      <c r="J166" s="85"/>
    </row>
    <row r="167" spans="1:11" ht="13.5" thickBot="1">
      <c r="A167" s="105"/>
      <c r="B167" s="81">
        <f>B166+7</f>
        <v>43821</v>
      </c>
      <c r="C167" s="20">
        <f>D166+G166-H166</f>
        <v>1230.094301852499</v>
      </c>
      <c r="D167" s="17">
        <f>C167+(C167*0.03)</f>
        <v>1266.997130908074</v>
      </c>
      <c r="E167" s="17">
        <f>C167/3250</f>
        <v>0.37849055441615354</v>
      </c>
      <c r="F167" s="28">
        <f>(D167-C167)/E167</f>
        <v>97.500000000000114</v>
      </c>
      <c r="G167" s="18"/>
      <c r="H167" s="80">
        <f>(D167-C154)*0.35</f>
        <v>132.42279225942497</v>
      </c>
      <c r="I167" s="19">
        <f>E167*50/C167</f>
        <v>1.5384615384615385E-2</v>
      </c>
      <c r="J167" s="85"/>
      <c r="K167" s="102" t="s">
        <v>49</v>
      </c>
    </row>
    <row r="168" spans="1:11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6"/>
    </row>
    <row r="169" spans="1:11">
      <c r="A169" s="103">
        <v>34</v>
      </c>
      <c r="B169" s="81">
        <f>B167+7</f>
        <v>43828</v>
      </c>
      <c r="C169" s="20">
        <f>D167+G167-H167</f>
        <v>1134.574338648649</v>
      </c>
      <c r="D169" s="17">
        <f>C169+(C169*0.03)</f>
        <v>1168.6115688081086</v>
      </c>
      <c r="E169" s="17">
        <f>C169/3250</f>
        <v>0.34909979650727663</v>
      </c>
      <c r="F169" s="28">
        <f>(D169-C169)/E169</f>
        <v>97.500000000000284</v>
      </c>
      <c r="G169" s="18"/>
      <c r="H169" s="18"/>
      <c r="I169" s="19">
        <f>E169*50/C169</f>
        <v>1.5384615384615385E-2</v>
      </c>
      <c r="J169" s="85"/>
    </row>
    <row r="170" spans="1:11">
      <c r="A170" s="104"/>
      <c r="B170" s="81">
        <f>B169+7</f>
        <v>43835</v>
      </c>
      <c r="C170" s="20">
        <f>D169+G169-H169</f>
        <v>1168.6115688081086</v>
      </c>
      <c r="D170" s="17">
        <f>C170+(C170*0.03)</f>
        <v>1203.6699158723518</v>
      </c>
      <c r="E170" s="17">
        <f>C170/3250</f>
        <v>0.35957279040249496</v>
      </c>
      <c r="F170" s="28">
        <f>(D170-C170)/E170</f>
        <v>97.499999999999858</v>
      </c>
      <c r="G170" s="18"/>
      <c r="H170" s="18"/>
      <c r="I170" s="19">
        <f>E170*50/C170</f>
        <v>1.5384615384615385E-2</v>
      </c>
      <c r="J170" s="85"/>
    </row>
    <row r="171" spans="1:11">
      <c r="A171" s="104"/>
      <c r="B171" s="81">
        <f>B170+7</f>
        <v>43842</v>
      </c>
      <c r="C171" s="20">
        <f>D170+G170-H170</f>
        <v>1203.6699158723518</v>
      </c>
      <c r="D171" s="17">
        <f>C171+(C171*0.03)</f>
        <v>1239.7800133485223</v>
      </c>
      <c r="E171" s="17">
        <f>C171/3250</f>
        <v>0.37035997411456978</v>
      </c>
      <c r="F171" s="28">
        <f>(D171-C171)/E171</f>
        <v>97.499999999999844</v>
      </c>
      <c r="G171" s="18"/>
      <c r="H171" s="18"/>
      <c r="I171" s="19">
        <f>E171*50/C171</f>
        <v>1.5384615384615384E-2</v>
      </c>
      <c r="J171" s="85"/>
    </row>
    <row r="172" spans="1:11" ht="13" thickBot="1">
      <c r="A172" s="105"/>
      <c r="B172" s="81">
        <f>B171+7</f>
        <v>43849</v>
      </c>
      <c r="C172" s="20">
        <f>D171+G171-H171</f>
        <v>1239.7800133485223</v>
      </c>
      <c r="D172" s="17">
        <f>C172+(C172*0.03)</f>
        <v>1276.9734137489779</v>
      </c>
      <c r="E172" s="17">
        <f>C172/3250</f>
        <v>0.38147077333800689</v>
      </c>
      <c r="F172" s="28">
        <f>(D172-C172)/E172</f>
        <v>97.499999999999886</v>
      </c>
      <c r="G172" s="18"/>
      <c r="H172" s="80"/>
      <c r="I172" s="19">
        <f>E172*50/C172</f>
        <v>1.5384615384615385E-2</v>
      </c>
      <c r="J172" s="85"/>
    </row>
    <row r="173" spans="1:11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6"/>
    </row>
    <row r="174" spans="1:11">
      <c r="A174" s="103">
        <v>35</v>
      </c>
      <c r="B174" s="81">
        <f>B172+7</f>
        <v>43856</v>
      </c>
      <c r="C174" s="20">
        <f>D172+G172-H172</f>
        <v>1276.9734137489779</v>
      </c>
      <c r="D174" s="17">
        <f>C174+(C174*0.03)</f>
        <v>1315.2826161614473</v>
      </c>
      <c r="E174" s="17">
        <f>C174/3250</f>
        <v>0.39291489653814704</v>
      </c>
      <c r="F174" s="28">
        <f>(D174-C174)/E174</f>
        <v>97.500000000000171</v>
      </c>
      <c r="G174" s="18"/>
      <c r="H174" s="18"/>
      <c r="I174" s="19">
        <f>E174*50/C174</f>
        <v>1.5384615384615385E-2</v>
      </c>
      <c r="J174" s="85"/>
    </row>
    <row r="175" spans="1:11">
      <c r="A175" s="104"/>
      <c r="B175" s="81">
        <f>B174+7</f>
        <v>43863</v>
      </c>
      <c r="C175" s="20">
        <f>D174+G174-H174</f>
        <v>1315.2826161614473</v>
      </c>
      <c r="D175" s="17">
        <f>C175+(C175*0.03)</f>
        <v>1354.7410946462908</v>
      </c>
      <c r="E175" s="17">
        <f>C175/3250</f>
        <v>0.40470234343429146</v>
      </c>
      <c r="F175" s="28">
        <f>(D175-C175)/E175</f>
        <v>97.500000000000085</v>
      </c>
      <c r="G175" s="18"/>
      <c r="H175" s="18"/>
      <c r="I175" s="19">
        <f>E175*50/C175</f>
        <v>1.5384615384615384E-2</v>
      </c>
      <c r="J175" s="85"/>
    </row>
    <row r="176" spans="1:11">
      <c r="A176" s="104"/>
      <c r="B176" s="81">
        <f>B175+7</f>
        <v>43870</v>
      </c>
      <c r="C176" s="20">
        <f>D175+G175-H175</f>
        <v>1354.7410946462908</v>
      </c>
      <c r="D176" s="17">
        <f>C176+(C176*0.03)</f>
        <v>1395.3833274856795</v>
      </c>
      <c r="E176" s="17">
        <f>C176/3250</f>
        <v>0.41684341373732026</v>
      </c>
      <c r="F176" s="28">
        <f>(D176-C176)/E176</f>
        <v>97.5</v>
      </c>
      <c r="G176" s="18"/>
      <c r="H176" s="18"/>
      <c r="I176" s="19">
        <f>E176*50/C176</f>
        <v>1.5384615384615385E-2</v>
      </c>
      <c r="J176" s="85"/>
    </row>
    <row r="177" spans="1:11" ht="13.5" thickBot="1">
      <c r="A177" s="105"/>
      <c r="B177" s="81">
        <f>B176+7</f>
        <v>43877</v>
      </c>
      <c r="C177" s="20">
        <f>D176+G176-H176</f>
        <v>1395.3833274856795</v>
      </c>
      <c r="D177" s="17">
        <f>C177+(C177*0.03)</f>
        <v>1437.2448273102498</v>
      </c>
      <c r="E177" s="17">
        <f>C177/3250</f>
        <v>0.42934871614943987</v>
      </c>
      <c r="F177" s="28">
        <f>(D177-C177)/E177</f>
        <v>97.49999999999973</v>
      </c>
      <c r="G177" s="18"/>
      <c r="H177" s="80">
        <f>(D177-C169)*0.35</f>
        <v>105.93467103156026</v>
      </c>
      <c r="I177" s="19">
        <f>E177*50/C177</f>
        <v>1.5384615384615385E-2</v>
      </c>
      <c r="J177" s="85"/>
      <c r="K177" s="102" t="s">
        <v>49</v>
      </c>
    </row>
    <row r="178" spans="1:11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6"/>
    </row>
  </sheetData>
  <mergeCells count="36">
    <mergeCell ref="A169:A172"/>
    <mergeCell ref="A174:A177"/>
    <mergeCell ref="A154:A157"/>
    <mergeCell ref="A159:A162"/>
    <mergeCell ref="A164:A167"/>
    <mergeCell ref="A139:A142"/>
    <mergeCell ref="A144:A147"/>
    <mergeCell ref="A149:A152"/>
    <mergeCell ref="A124:A127"/>
    <mergeCell ref="A129:A132"/>
    <mergeCell ref="A134:A137"/>
    <mergeCell ref="A109:A112"/>
    <mergeCell ref="A114:A117"/>
    <mergeCell ref="A119:A122"/>
    <mergeCell ref="A94:A97"/>
    <mergeCell ref="A99:A102"/>
    <mergeCell ref="A104:A107"/>
    <mergeCell ref="A79:A82"/>
    <mergeCell ref="A84:A87"/>
    <mergeCell ref="A89:A92"/>
    <mergeCell ref="A64:A67"/>
    <mergeCell ref="A69:A72"/>
    <mergeCell ref="A74:A77"/>
    <mergeCell ref="A49:A52"/>
    <mergeCell ref="A54:A57"/>
    <mergeCell ref="A59:A62"/>
    <mergeCell ref="A34:A37"/>
    <mergeCell ref="A39:A42"/>
    <mergeCell ref="A44:A47"/>
    <mergeCell ref="A19:A22"/>
    <mergeCell ref="A24:A27"/>
    <mergeCell ref="A29:A32"/>
    <mergeCell ref="A14:A17"/>
    <mergeCell ref="B1:J1"/>
    <mergeCell ref="A4:A7"/>
    <mergeCell ref="A9:A12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K178"/>
  <sheetViews>
    <sheetView topLeftCell="A30" workbookViewId="0">
      <selection activeCell="C47" sqref="C47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1" width="61.6328125" style="75" bestFit="1" customWidth="1"/>
    <col min="12" max="16384" width="9.1796875" style="75"/>
  </cols>
  <sheetData>
    <row r="1" spans="1:10" ht="13.5" thickBot="1">
      <c r="B1" s="106"/>
      <c r="C1" s="107"/>
      <c r="D1" s="107"/>
      <c r="E1" s="107"/>
      <c r="F1" s="107"/>
      <c r="G1" s="107"/>
      <c r="H1" s="107"/>
      <c r="I1" s="107"/>
      <c r="J1" s="88"/>
    </row>
    <row r="2" spans="1:10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0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0">
      <c r="A4" s="103">
        <v>1</v>
      </c>
      <c r="B4" s="81">
        <v>42883</v>
      </c>
      <c r="C4" s="20">
        <v>2000</v>
      </c>
      <c r="D4" s="17">
        <f>C4+(C4*0.035)</f>
        <v>2070</v>
      </c>
      <c r="E4" s="17">
        <f>C4/3250</f>
        <v>0.61538461538461542</v>
      </c>
      <c r="F4" s="34">
        <f>(D4-C4)/E4</f>
        <v>113.75</v>
      </c>
      <c r="G4" s="18"/>
      <c r="H4" s="18"/>
      <c r="I4" s="19">
        <f>E4*50/C4</f>
        <v>1.5384615384615385E-2</v>
      </c>
      <c r="J4" s="87">
        <f>(D4-C4)/C4</f>
        <v>3.5000000000000003E-2</v>
      </c>
    </row>
    <row r="5" spans="1:10">
      <c r="A5" s="104"/>
      <c r="B5" s="81">
        <f>B4+7</f>
        <v>42890</v>
      </c>
      <c r="C5" s="20">
        <f>D4+G4-H4</f>
        <v>2070</v>
      </c>
      <c r="D5" s="21">
        <f>C5+(C5*0.1312)</f>
        <v>2341.5839999999998</v>
      </c>
      <c r="E5" s="17">
        <f>C5/3250</f>
        <v>0.63692307692307693</v>
      </c>
      <c r="F5" s="101">
        <f>(D5-C5)/E5</f>
        <v>426.39999999999975</v>
      </c>
      <c r="G5" s="18"/>
      <c r="H5" s="18"/>
      <c r="I5" s="19">
        <f>E5*50/C5</f>
        <v>1.5384615384615385E-2</v>
      </c>
      <c r="J5" s="87">
        <f>(D5-C4)/C4</f>
        <v>0.17079199999999992</v>
      </c>
    </row>
    <row r="6" spans="1:10">
      <c r="A6" s="104"/>
      <c r="B6" s="81">
        <f>B5+7</f>
        <v>42897</v>
      </c>
      <c r="C6" s="20">
        <f>D5+G5-H5</f>
        <v>2341.5839999999998</v>
      </c>
      <c r="D6" s="17">
        <f>C6+(C6*0.014)</f>
        <v>2374.366176</v>
      </c>
      <c r="E6" s="17">
        <f>C6/3250</f>
        <v>0.72048738461538453</v>
      </c>
      <c r="F6" s="34">
        <f>(D6-C6)/E6</f>
        <v>45.500000000000234</v>
      </c>
      <c r="G6" s="18"/>
      <c r="H6" s="18"/>
      <c r="I6" s="19">
        <f>E6*50/C6</f>
        <v>1.5384615384615384E-2</v>
      </c>
      <c r="J6" s="87">
        <f>(D6-$C4)/$C4</f>
        <v>0.187183088</v>
      </c>
    </row>
    <row r="7" spans="1:10" ht="13" thickBot="1">
      <c r="A7" s="105"/>
      <c r="B7" s="81">
        <f>B6+7</f>
        <v>42904</v>
      </c>
      <c r="C7" s="20">
        <f>D6+G6-H6</f>
        <v>2374.366176</v>
      </c>
      <c r="D7" s="17">
        <f>C7+(C7*0)</f>
        <v>2374.366176</v>
      </c>
      <c r="E7" s="17">
        <f>C7/3250</f>
        <v>0.73057420799999995</v>
      </c>
      <c r="F7" s="34">
        <f>(D7-C7)/E7</f>
        <v>0</v>
      </c>
      <c r="G7" s="18"/>
      <c r="H7" s="18"/>
      <c r="I7" s="19">
        <f>E7*50/C7</f>
        <v>1.5384615384615382E-2</v>
      </c>
      <c r="J7" s="87">
        <f>(D7-$C4)/$C4</f>
        <v>0.187183088</v>
      </c>
    </row>
    <row r="8" spans="1:10" ht="13" thickBot="1">
      <c r="A8" s="78"/>
      <c r="B8" s="13"/>
      <c r="C8" s="22"/>
      <c r="D8" s="23"/>
      <c r="E8" s="23"/>
      <c r="F8" s="27"/>
      <c r="G8" s="23"/>
      <c r="H8" s="10"/>
      <c r="I8" s="24"/>
      <c r="J8" s="91"/>
    </row>
    <row r="9" spans="1:10">
      <c r="A9" s="103">
        <v>2</v>
      </c>
      <c r="B9" s="81">
        <f>B7+7</f>
        <v>42911</v>
      </c>
      <c r="C9" s="20">
        <f>D7+G7-H7</f>
        <v>2374.366176</v>
      </c>
      <c r="D9" s="17">
        <f>C9+(C9*0.015)</f>
        <v>2409.98166864</v>
      </c>
      <c r="E9" s="17">
        <f>C9/3250</f>
        <v>0.73057420799999995</v>
      </c>
      <c r="F9" s="34">
        <f>(D9-C9)/E9</f>
        <v>48.749999999999943</v>
      </c>
      <c r="G9" s="18"/>
      <c r="H9" s="18"/>
      <c r="I9" s="19">
        <f>E9*50/C9</f>
        <v>1.5384615384615382E-2</v>
      </c>
      <c r="J9" s="87">
        <f>(D9-$C4)/$C4</f>
        <v>0.20499083431999998</v>
      </c>
    </row>
    <row r="10" spans="1:10">
      <c r="A10" s="104"/>
      <c r="B10" s="81">
        <f>B9+7</f>
        <v>42918</v>
      </c>
      <c r="C10" s="20">
        <f>D9+G9-H9</f>
        <v>2409.98166864</v>
      </c>
      <c r="D10" s="17">
        <f>C10+(C10*0.054)</f>
        <v>2540.1206787465599</v>
      </c>
      <c r="E10" s="17">
        <f>C10/3250</f>
        <v>0.74153282111999996</v>
      </c>
      <c r="F10" s="34">
        <f>(D10-C10)/E10</f>
        <v>175.49999999999989</v>
      </c>
      <c r="G10" s="18"/>
      <c r="H10" s="18"/>
      <c r="I10" s="19">
        <f>E10*50/C10</f>
        <v>1.5384615384615385E-2</v>
      </c>
      <c r="J10" s="87">
        <f>(D10-$C4)/$C4</f>
        <v>0.27006033937327995</v>
      </c>
    </row>
    <row r="11" spans="1:10">
      <c r="A11" s="104"/>
      <c r="B11" s="81">
        <f>B10+7</f>
        <v>42925</v>
      </c>
      <c r="C11" s="20">
        <f>D10+G10-H10</f>
        <v>2540.1206787465599</v>
      </c>
      <c r="D11" s="17">
        <f>C11+(C11*0.0483)</f>
        <v>2662.8085075300187</v>
      </c>
      <c r="E11" s="17">
        <f>C11/3250</f>
        <v>0.78157559346048</v>
      </c>
      <c r="F11" s="34">
        <f>(D11-C11)/E11</f>
        <v>156.97499999999997</v>
      </c>
      <c r="G11" s="18"/>
      <c r="H11" s="18"/>
      <c r="I11" s="19">
        <f>E11*50/C11</f>
        <v>1.5384615384615385E-2</v>
      </c>
      <c r="J11" s="87">
        <f>(D11-$C4)/$C4</f>
        <v>0.33140425376500937</v>
      </c>
    </row>
    <row r="12" spans="1:10" ht="13" thickBot="1">
      <c r="A12" s="105"/>
      <c r="B12" s="81">
        <f>B11+7</f>
        <v>42932</v>
      </c>
      <c r="C12" s="20">
        <f>D11+G11-H11</f>
        <v>2662.8085075300187</v>
      </c>
      <c r="D12" s="99">
        <f>C12+(C12*-0.074)</f>
        <v>2465.7606779727971</v>
      </c>
      <c r="E12" s="17">
        <f>C12/3250</f>
        <v>0.81932569462462113</v>
      </c>
      <c r="F12" s="95">
        <f>(D12-C12)/E12</f>
        <v>-240.50000000000023</v>
      </c>
      <c r="G12" s="18"/>
      <c r="H12" s="18"/>
      <c r="I12" s="19">
        <f>E12*50/C12</f>
        <v>1.5384615384615384E-2</v>
      </c>
      <c r="J12" s="87">
        <f>(D12-$C4)/$C4</f>
        <v>0.23288033898639857</v>
      </c>
    </row>
    <row r="13" spans="1:10" ht="13" thickBot="1">
      <c r="A13" s="78"/>
      <c r="B13" s="13"/>
      <c r="C13" s="22"/>
      <c r="D13" s="23"/>
      <c r="E13" s="23"/>
      <c r="F13" s="27"/>
      <c r="G13" s="23"/>
      <c r="H13" s="10"/>
      <c r="I13" s="24"/>
      <c r="J13" s="91"/>
    </row>
    <row r="14" spans="1:10">
      <c r="A14" s="103">
        <v>3</v>
      </c>
      <c r="B14" s="81">
        <f>B12+7</f>
        <v>42939</v>
      </c>
      <c r="C14" s="20">
        <f>D12+G12-H12</f>
        <v>2465.7606779727971</v>
      </c>
      <c r="D14" s="17">
        <f>C14+(C14*0.0427)</f>
        <v>2571.0486589222355</v>
      </c>
      <c r="E14" s="17">
        <f>C14/3250</f>
        <v>0.7586955932223991</v>
      </c>
      <c r="F14" s="34">
        <f>(D14-C14)/E14</f>
        <v>138.77499999999995</v>
      </c>
      <c r="G14" s="18"/>
      <c r="H14" s="18"/>
      <c r="I14" s="19">
        <f>E14*50/C14</f>
        <v>1.5384615384615384E-2</v>
      </c>
      <c r="J14" s="87">
        <f>(D14-$C4)/$C4</f>
        <v>0.28552432946111778</v>
      </c>
    </row>
    <row r="15" spans="1:10">
      <c r="A15" s="104"/>
      <c r="B15" s="81">
        <f>B14+7</f>
        <v>42946</v>
      </c>
      <c r="C15" s="20">
        <f>D14+G14-H14</f>
        <v>2571.0486589222355</v>
      </c>
      <c r="D15" s="17">
        <f>C15+(C15*-0.0045)</f>
        <v>2559.4789399570855</v>
      </c>
      <c r="E15" s="17">
        <f>C15/3250</f>
        <v>0.7910918950529956</v>
      </c>
      <c r="F15" s="37">
        <f>(D15-C15)/E15</f>
        <v>-14.624999999999998</v>
      </c>
      <c r="G15" s="18"/>
      <c r="H15" s="18"/>
      <c r="I15" s="19">
        <f>E15*50/C15</f>
        <v>1.5384615384615384E-2</v>
      </c>
      <c r="J15" s="87">
        <f>(D15-$C4)/$C4</f>
        <v>0.27973946997854271</v>
      </c>
    </row>
    <row r="16" spans="1:10">
      <c r="A16" s="104"/>
      <c r="B16" s="81">
        <f>B15+7</f>
        <v>42953</v>
      </c>
      <c r="C16" s="20">
        <f>D15+G15-H15</f>
        <v>2559.4789399570855</v>
      </c>
      <c r="D16" s="17">
        <f>C16+(C16*-0.0326)</f>
        <v>2476.0399265144843</v>
      </c>
      <c r="E16" s="17">
        <f>C16/3250</f>
        <v>0.78753198152525705</v>
      </c>
      <c r="F16" s="37">
        <f>(D16-C16)/E16</f>
        <v>-105.95000000000029</v>
      </c>
      <c r="G16" s="18"/>
      <c r="H16" s="18"/>
      <c r="I16" s="19">
        <f>E16*50/C16</f>
        <v>1.5384615384615384E-2</v>
      </c>
      <c r="J16" s="87">
        <f>(D16-$C4)/$C4</f>
        <v>0.23801996325724212</v>
      </c>
    </row>
    <row r="17" spans="1:11" ht="13.5" thickBot="1">
      <c r="A17" s="105"/>
      <c r="B17" s="81">
        <f>B16+7</f>
        <v>42960</v>
      </c>
      <c r="C17" s="20">
        <f>D16+G16-H16</f>
        <v>2476.0399265144843</v>
      </c>
      <c r="D17" s="17">
        <f>C17+(C17*-0.02)</f>
        <v>2426.5191279841947</v>
      </c>
      <c r="E17" s="17">
        <f>C17/3250</f>
        <v>0.76185843892753358</v>
      </c>
      <c r="F17" s="37">
        <f>(D17-C17)/E17</f>
        <v>-64.999999999999815</v>
      </c>
      <c r="G17" s="18"/>
      <c r="H17" s="80">
        <f>(D17-C4)*0.3</f>
        <v>127.95573839525841</v>
      </c>
      <c r="I17" s="19">
        <f>E17*50/C17</f>
        <v>1.5384615384615384E-2</v>
      </c>
      <c r="J17" s="87">
        <f>(D17-C19)/$C4</f>
        <v>6.3977869197629156E-2</v>
      </c>
      <c r="K17" s="102" t="s">
        <v>48</v>
      </c>
    </row>
    <row r="18" spans="1:11" ht="13" thickBot="1">
      <c r="A18" s="78"/>
      <c r="B18" s="13"/>
      <c r="C18" s="22"/>
      <c r="D18" s="23"/>
      <c r="E18" s="23"/>
      <c r="F18" s="27"/>
      <c r="G18" s="23"/>
      <c r="H18" s="10"/>
      <c r="I18" s="24"/>
      <c r="J18" s="91"/>
    </row>
    <row r="19" spans="1:11">
      <c r="A19" s="103">
        <v>4</v>
      </c>
      <c r="B19" s="81">
        <f>B17+7</f>
        <v>42967</v>
      </c>
      <c r="C19" s="20">
        <f>D17+G17-H17</f>
        <v>2298.5633895889364</v>
      </c>
      <c r="D19" s="17">
        <f>C19+(C19*0.0596)</f>
        <v>2435.5577676084372</v>
      </c>
      <c r="E19" s="17">
        <f>C19/3250</f>
        <v>0.70725027371967275</v>
      </c>
      <c r="F19" s="34">
        <f>(D19-C19)/E19</f>
        <v>193.70000000000027</v>
      </c>
      <c r="G19" s="18"/>
      <c r="H19" s="18"/>
      <c r="I19" s="19">
        <f>E19*50/C19</f>
        <v>1.5384615384615384E-2</v>
      </c>
      <c r="J19" s="87">
        <f>(D19-$C4)/$C4</f>
        <v>0.21777888380421859</v>
      </c>
    </row>
    <row r="20" spans="1:11">
      <c r="A20" s="104"/>
      <c r="B20" s="81">
        <f>B19+7</f>
        <v>42974</v>
      </c>
      <c r="C20" s="20">
        <f>D19+G19-H19</f>
        <v>2435.5577676084372</v>
      </c>
      <c r="D20" s="99">
        <f>C20+(C20*-0.0884)</f>
        <v>2220.2544609518513</v>
      </c>
      <c r="E20" s="17">
        <f>C20/3250</f>
        <v>0.74940239003336528</v>
      </c>
      <c r="F20" s="95">
        <f>(D20-C20)/E20</f>
        <v>-287.3</v>
      </c>
      <c r="G20" s="18"/>
      <c r="H20" s="18"/>
      <c r="I20" s="19">
        <f>E20*50/C20</f>
        <v>1.5384615384615385E-2</v>
      </c>
      <c r="J20" s="87">
        <f>(D20-$C4)/$C4</f>
        <v>0.11012723047592567</v>
      </c>
    </row>
    <row r="21" spans="1:11">
      <c r="A21" s="104"/>
      <c r="B21" s="81">
        <f>B20+7</f>
        <v>42981</v>
      </c>
      <c r="C21" s="20">
        <f>D20+G20-H20</f>
        <v>2220.2544609518513</v>
      </c>
      <c r="D21" s="99">
        <f>C21+(C21*-0.0583)</f>
        <v>2090.8136258783584</v>
      </c>
      <c r="E21" s="17">
        <f>C21/5500</f>
        <v>0.40368262926397297</v>
      </c>
      <c r="F21" s="95">
        <f>(D21-C21)/E21</f>
        <v>-320.65000000000009</v>
      </c>
      <c r="G21" s="18"/>
      <c r="H21" s="18"/>
      <c r="I21" s="19">
        <f>E21*50/C21</f>
        <v>9.0909090909090922E-3</v>
      </c>
      <c r="J21" s="87">
        <f>(D21-$C4)/$C4</f>
        <v>4.5406812939179191E-2</v>
      </c>
    </row>
    <row r="22" spans="1:11" ht="13" thickBot="1">
      <c r="A22" s="105"/>
      <c r="B22" s="81">
        <f>B21+7</f>
        <v>42988</v>
      </c>
      <c r="C22" s="20">
        <f>D21+G21-H21</f>
        <v>2090.8136258783584</v>
      </c>
      <c r="D22" s="21">
        <f>C22+(C22*0.1119)</f>
        <v>2324.7756706141467</v>
      </c>
      <c r="E22" s="17">
        <f>C22/5500</f>
        <v>0.38014793197788332</v>
      </c>
      <c r="F22" s="101">
        <f>(D22-C22)/E22</f>
        <v>615.45000000000016</v>
      </c>
      <c r="G22" s="18"/>
      <c r="H22" s="18"/>
      <c r="I22" s="19">
        <f>E22*50/C22</f>
        <v>9.0909090909090922E-3</v>
      </c>
      <c r="J22" s="87">
        <f>(D22-$C4)/$C4</f>
        <v>0.16238783530707337</v>
      </c>
    </row>
    <row r="23" spans="1:11" ht="13" thickBot="1">
      <c r="A23" s="78"/>
      <c r="B23" s="13"/>
      <c r="C23" s="22"/>
      <c r="D23" s="23"/>
      <c r="E23" s="23"/>
      <c r="F23" s="27"/>
      <c r="G23" s="23"/>
      <c r="H23" s="10"/>
      <c r="I23" s="24"/>
      <c r="J23" s="86"/>
    </row>
    <row r="24" spans="1:11">
      <c r="A24" s="103">
        <v>5</v>
      </c>
      <c r="B24" s="81">
        <f>B22+7</f>
        <v>42995</v>
      </c>
      <c r="C24" s="20">
        <f>D22+G22-H22</f>
        <v>2324.7756706141467</v>
      </c>
      <c r="D24" s="99">
        <f>C24+(C24*-0.073)</f>
        <v>2155.0670466593142</v>
      </c>
      <c r="E24" s="17">
        <f>C24/5500</f>
        <v>0.42268648556620853</v>
      </c>
      <c r="F24" s="95">
        <f>(D24-C24)/E24</f>
        <v>-401.4999999999996</v>
      </c>
      <c r="G24" s="18"/>
      <c r="H24" s="18"/>
      <c r="I24" s="19">
        <f>E24*50/C24</f>
        <v>9.0909090909090922E-3</v>
      </c>
      <c r="J24" s="87">
        <f>(D24-$C4)/$C4</f>
        <v>7.75335233296571E-2</v>
      </c>
    </row>
    <row r="25" spans="1:11">
      <c r="A25" s="104"/>
      <c r="B25" s="81">
        <f>B24+7</f>
        <v>43002</v>
      </c>
      <c r="C25" s="20">
        <f>D24+G24-H24</f>
        <v>2155.0670466593142</v>
      </c>
      <c r="D25" s="17">
        <f>C25+(C25*-0.0103)</f>
        <v>2132.8698560787234</v>
      </c>
      <c r="E25" s="17">
        <f>C25/5500</f>
        <v>0.39183037211987531</v>
      </c>
      <c r="F25" s="37">
        <f>(D25-C25)/E25</f>
        <v>-56.649999999999686</v>
      </c>
      <c r="G25" s="18"/>
      <c r="H25" s="18"/>
      <c r="I25" s="19">
        <f>E25*50/C25</f>
        <v>9.0909090909090905E-3</v>
      </c>
      <c r="J25" s="87">
        <f>(D25-$C4)/$C4</f>
        <v>6.6434928039361699E-2</v>
      </c>
    </row>
    <row r="26" spans="1:11">
      <c r="A26" s="104"/>
      <c r="B26" s="81">
        <f>B25+7</f>
        <v>43009</v>
      </c>
      <c r="C26" s="20">
        <f>D25+G25-H25</f>
        <v>2132.8698560787234</v>
      </c>
      <c r="D26" s="99">
        <f>C26+(C26*-0.0544)</f>
        <v>2016.8417359080408</v>
      </c>
      <c r="E26" s="17">
        <f>C26/5500</f>
        <v>0.38779451928704062</v>
      </c>
      <c r="F26" s="95">
        <f>(D26-C26)/E26</f>
        <v>-299.2</v>
      </c>
      <c r="G26" s="18"/>
      <c r="H26" s="18"/>
      <c r="I26" s="19">
        <f>E26*50/C26</f>
        <v>9.0909090909090905E-3</v>
      </c>
      <c r="J26" s="87">
        <f>(D26-$C4)/$C4</f>
        <v>8.4208679540204237E-3</v>
      </c>
    </row>
    <row r="27" spans="1:11" ht="13" thickBot="1">
      <c r="A27" s="105"/>
      <c r="B27" s="81">
        <f>B26+7</f>
        <v>43016</v>
      </c>
      <c r="C27" s="20">
        <f>D26+G26-H26</f>
        <v>2016.8417359080408</v>
      </c>
      <c r="D27" s="17">
        <f>C27+(C27*-0.0579)</f>
        <v>1900.0665993989653</v>
      </c>
      <c r="E27" s="17">
        <f>C27/3000</f>
        <v>0.67228057863601365</v>
      </c>
      <c r="F27" s="37">
        <f>(D27-C27)/E27</f>
        <v>-173.69999999999996</v>
      </c>
      <c r="G27" s="18"/>
      <c r="H27" s="18"/>
      <c r="I27" s="19">
        <f>E27*50/C27</f>
        <v>1.6666666666666666E-2</v>
      </c>
      <c r="J27" s="90">
        <f>(D27-$C4)/$C4</f>
        <v>-4.9966700300517343E-2</v>
      </c>
    </row>
    <row r="28" spans="1:11" ht="13" thickBot="1">
      <c r="A28" s="78"/>
      <c r="B28" s="13"/>
      <c r="C28" s="22"/>
      <c r="D28" s="23"/>
      <c r="E28" s="23"/>
      <c r="F28" s="27"/>
      <c r="G28" s="23"/>
      <c r="H28" s="10"/>
      <c r="I28" s="24"/>
      <c r="J28" s="86"/>
    </row>
    <row r="29" spans="1:11">
      <c r="A29" s="103">
        <v>6</v>
      </c>
      <c r="B29" s="81">
        <f>B27+7</f>
        <v>43023</v>
      </c>
      <c r="C29" s="20">
        <f>D27+G27-H27</f>
        <v>1900.0665993989653</v>
      </c>
      <c r="D29" s="21">
        <f>C29+(C29*0.0774)</f>
        <v>2047.1317541924452</v>
      </c>
      <c r="E29" s="17">
        <f>C29/3000</f>
        <v>0.63335553313298842</v>
      </c>
      <c r="F29" s="101">
        <f>(D29-C29)/E29</f>
        <v>232.2</v>
      </c>
      <c r="G29" s="18"/>
      <c r="H29" s="18"/>
      <c r="I29" s="19">
        <f>E29*50/C29</f>
        <v>1.6666666666666666E-2</v>
      </c>
      <c r="J29" s="87">
        <f>(D29-$C4)/$C4</f>
        <v>2.3565877096222609E-2</v>
      </c>
    </row>
    <row r="30" spans="1:11">
      <c r="A30" s="104"/>
      <c r="B30" s="81">
        <f>B29+7</f>
        <v>43030</v>
      </c>
      <c r="C30" s="20">
        <f>D29+G29-H29</f>
        <v>2047.1317541924452</v>
      </c>
      <c r="D30" s="21">
        <f>C30+(C30*0.0717)</f>
        <v>2193.9111009680437</v>
      </c>
      <c r="E30" s="17">
        <f>C30/3000</f>
        <v>0.68237725139748173</v>
      </c>
      <c r="F30" s="101">
        <f>(D30-C30)/E30</f>
        <v>215.10000000000022</v>
      </c>
      <c r="G30" s="18"/>
      <c r="H30" s="18"/>
      <c r="I30" s="19">
        <f>E30*50/C30</f>
        <v>1.6666666666666666E-2</v>
      </c>
      <c r="J30" s="87">
        <f>(D30-$C4)/$C4</f>
        <v>9.6955550484021838E-2</v>
      </c>
    </row>
    <row r="31" spans="1:11">
      <c r="A31" s="104"/>
      <c r="B31" s="81">
        <f>B30+7</f>
        <v>43037</v>
      </c>
      <c r="C31" s="20">
        <f>D30+G30-H30</f>
        <v>2193.9111009680437</v>
      </c>
      <c r="D31" s="21">
        <f>C31+(C31*0.09)</f>
        <v>2391.3631000551677</v>
      </c>
      <c r="E31" s="17">
        <f>C31/3000</f>
        <v>0.73130370032268122</v>
      </c>
      <c r="F31" s="101">
        <f>(D31-C31)/E31</f>
        <v>270.00000000000011</v>
      </c>
      <c r="G31" s="18"/>
      <c r="H31" s="18"/>
      <c r="I31" s="19">
        <f>E31*50/C31</f>
        <v>1.6666666666666666E-2</v>
      </c>
      <c r="J31" s="87">
        <f>(D31-$C4)/$C4</f>
        <v>0.19568155002758386</v>
      </c>
    </row>
    <row r="32" spans="1:11" ht="13.5" thickBot="1">
      <c r="A32" s="105"/>
      <c r="B32" s="81">
        <f>B31+7</f>
        <v>43044</v>
      </c>
      <c r="C32" s="20">
        <f>D31+G31-H31</f>
        <v>2391.3631000551677</v>
      </c>
      <c r="D32" s="17">
        <f>C32+(C32*-0.0353)</f>
        <v>2306.9479826232205</v>
      </c>
      <c r="E32" s="17">
        <f>C32/3000</f>
        <v>0.79712103335172257</v>
      </c>
      <c r="F32" s="37">
        <f>(D32-C32)/E32</f>
        <v>-105.89999999999976</v>
      </c>
      <c r="G32" s="18"/>
      <c r="H32" s="80">
        <f>(D32-C19)*0.35</f>
        <v>2.9346075619994281</v>
      </c>
      <c r="I32" s="19">
        <f>E32*50/C32</f>
        <v>1.6666666666666666E-2</v>
      </c>
      <c r="J32" s="87">
        <f>(D32-$C4)/$C4</f>
        <v>0.15347399131161024</v>
      </c>
      <c r="K32" s="102" t="s">
        <v>49</v>
      </c>
    </row>
    <row r="33" spans="1:11" ht="13" thickBot="1">
      <c r="A33" s="78"/>
      <c r="B33" s="13"/>
      <c r="C33" s="22"/>
      <c r="D33" s="23"/>
      <c r="E33" s="23"/>
      <c r="F33" s="27"/>
      <c r="G33" s="23"/>
      <c r="H33" s="10"/>
      <c r="I33" s="24"/>
      <c r="J33" s="86"/>
    </row>
    <row r="34" spans="1:11">
      <c r="A34" s="103">
        <v>7</v>
      </c>
      <c r="B34" s="81">
        <f>B32+7</f>
        <v>43051</v>
      </c>
      <c r="C34" s="20">
        <f>D32+G32-H32</f>
        <v>2304.0133750612213</v>
      </c>
      <c r="D34" s="99">
        <f>C34+(C34*-0.1562)</f>
        <v>1944.1264858766585</v>
      </c>
      <c r="E34" s="17">
        <f>C34/3000</f>
        <v>0.76800445835374043</v>
      </c>
      <c r="F34" s="95">
        <f>(D34-C34)/E34</f>
        <v>-468.59999999999997</v>
      </c>
      <c r="G34" s="18"/>
      <c r="H34" s="18"/>
      <c r="I34" s="19">
        <f>E34*50/C34</f>
        <v>1.6666666666666666E-2</v>
      </c>
      <c r="J34" s="90">
        <f>(D34-$C4)/$C4</f>
        <v>-2.7936757061670734E-2</v>
      </c>
    </row>
    <row r="35" spans="1:11">
      <c r="A35" s="104"/>
      <c r="B35" s="81">
        <f>B34+7</f>
        <v>43058</v>
      </c>
      <c r="C35" s="20">
        <f>D34+G34-H34</f>
        <v>1944.1264858766585</v>
      </c>
      <c r="D35" s="17">
        <f>C35+(C35*0.081)</f>
        <v>2101.6007312326678</v>
      </c>
      <c r="E35" s="17">
        <f>C35/2500</f>
        <v>0.77765059435066342</v>
      </c>
      <c r="F35" s="34">
        <f>(D35-C35)/E35</f>
        <v>202.49999999999994</v>
      </c>
      <c r="G35" s="18"/>
      <c r="H35" s="18"/>
      <c r="I35" s="19">
        <f>E35*50/C35</f>
        <v>0.02</v>
      </c>
      <c r="J35" s="87">
        <f>(D35-$C4)/$C4</f>
        <v>5.0800365616333922E-2</v>
      </c>
    </row>
    <row r="36" spans="1:11">
      <c r="A36" s="104"/>
      <c r="B36" s="81">
        <f>B35+7</f>
        <v>43065</v>
      </c>
      <c r="C36" s="20">
        <f>D35+G35-H35</f>
        <v>2101.6007312326678</v>
      </c>
      <c r="D36" s="17">
        <f>C36+(C36*-0.0343)</f>
        <v>2029.5158261513873</v>
      </c>
      <c r="E36" s="17">
        <f>C36/2500</f>
        <v>0.84064029249306715</v>
      </c>
      <c r="F36" s="37">
        <f>(D36-C36)/E36</f>
        <v>-85.750000000000071</v>
      </c>
      <c r="G36" s="18"/>
      <c r="H36" s="18"/>
      <c r="I36" s="19">
        <f>E36*50/C36</f>
        <v>0.02</v>
      </c>
      <c r="J36" s="87">
        <f>(D36-$C4)/$C4</f>
        <v>1.4757913075693636E-2</v>
      </c>
    </row>
    <row r="37" spans="1:11" ht="13" thickBot="1">
      <c r="A37" s="105"/>
      <c r="B37" s="81">
        <f>B36+7</f>
        <v>43072</v>
      </c>
      <c r="C37" s="20">
        <f>D36+G36-H36</f>
        <v>2029.5158261513873</v>
      </c>
      <c r="D37" s="21">
        <f>C37+(C37*0.10018)</f>
        <v>2232.8327216152334</v>
      </c>
      <c r="E37" s="17">
        <f>C37/3250</f>
        <v>0.62446640804658071</v>
      </c>
      <c r="F37" s="101">
        <f>(D37-C37)/E37</f>
        <v>325.58500000000021</v>
      </c>
      <c r="G37" s="18"/>
      <c r="H37" s="80"/>
      <c r="I37" s="19">
        <f>E37*50/C37</f>
        <v>1.5384615384615385E-2</v>
      </c>
      <c r="J37" s="87">
        <f>(D37-$C4)/$C4</f>
        <v>0.11641636080761668</v>
      </c>
    </row>
    <row r="38" spans="1:11" ht="13" thickBot="1">
      <c r="A38" s="78"/>
      <c r="B38" s="13"/>
      <c r="C38" s="22"/>
      <c r="D38" s="23"/>
      <c r="E38" s="23"/>
      <c r="F38" s="27"/>
      <c r="G38" s="23"/>
      <c r="H38" s="10"/>
      <c r="I38" s="24"/>
      <c r="J38" s="86"/>
    </row>
    <row r="39" spans="1:11">
      <c r="A39" s="103">
        <v>8</v>
      </c>
      <c r="B39" s="81">
        <f>B37+7</f>
        <v>43079</v>
      </c>
      <c r="C39" s="20">
        <f>D37+G37-H37</f>
        <v>2232.8327216152334</v>
      </c>
      <c r="D39" s="17">
        <f>C39+(C39*0.0214)</f>
        <v>2280.6153418577992</v>
      </c>
      <c r="E39" s="17">
        <f>C39/3250</f>
        <v>0.68702545280468719</v>
      </c>
      <c r="F39" s="34">
        <f>(D39-C39)/E39</f>
        <v>69.549999999999756</v>
      </c>
      <c r="G39" s="18"/>
      <c r="H39" s="18"/>
      <c r="I39" s="19">
        <f>E39*50/C39</f>
        <v>1.5384615384615384E-2</v>
      </c>
      <c r="J39" s="87">
        <f>(D39-$C4)/$C4</f>
        <v>0.14030767092889959</v>
      </c>
    </row>
    <row r="40" spans="1:11">
      <c r="A40" s="104"/>
      <c r="B40" s="81">
        <f>B39+7</f>
        <v>43086</v>
      </c>
      <c r="C40" s="20">
        <f>D39+G39-H39</f>
        <v>2280.6153418577992</v>
      </c>
      <c r="D40" s="17">
        <f>C40+(C40*0.0087)</f>
        <v>2300.4566953319622</v>
      </c>
      <c r="E40" s="17">
        <f>C40/3250</f>
        <v>0.70172779749470748</v>
      </c>
      <c r="F40" s="34">
        <f>(D40-C40)/E40</f>
        <v>28.275000000000269</v>
      </c>
      <c r="G40" s="18"/>
      <c r="H40" s="18"/>
      <c r="I40" s="19">
        <f>E40*50/C40</f>
        <v>1.5384615384615385E-2</v>
      </c>
      <c r="J40" s="87">
        <f>(D40-$C4)/$C4</f>
        <v>0.15022834766598112</v>
      </c>
    </row>
    <row r="41" spans="1:11">
      <c r="A41" s="104"/>
      <c r="B41" s="81">
        <f>B40+7</f>
        <v>43093</v>
      </c>
      <c r="C41" s="20">
        <f>D40+G40-H40</f>
        <v>2300.4566953319622</v>
      </c>
      <c r="D41" s="17">
        <f>C41+(C41*0)</f>
        <v>2300.4566953319622</v>
      </c>
      <c r="E41" s="17">
        <f>C41/3250</f>
        <v>0.70783282933291147</v>
      </c>
      <c r="F41" s="37">
        <f>(D41-C41)/E41</f>
        <v>0</v>
      </c>
      <c r="G41" s="18"/>
      <c r="H41" s="18"/>
      <c r="I41" s="19">
        <f>E41*50/C41</f>
        <v>1.5384615384615385E-2</v>
      </c>
      <c r="J41" s="87">
        <f>(D41-$C4)/$C4</f>
        <v>0.15022834766598112</v>
      </c>
    </row>
    <row r="42" spans="1:11" ht="13" thickBot="1">
      <c r="A42" s="105"/>
      <c r="B42" s="81">
        <f>B41+7</f>
        <v>43100</v>
      </c>
      <c r="C42" s="20">
        <f>D41+G41-H41</f>
        <v>2300.4566953319622</v>
      </c>
      <c r="D42" s="17">
        <f>C42+(C42*0)</f>
        <v>2300.4566953319622</v>
      </c>
      <c r="E42" s="17">
        <f>C42/3250</f>
        <v>0.70783282933291147</v>
      </c>
      <c r="F42" s="37">
        <f>(D42-C42)/E42</f>
        <v>0</v>
      </c>
      <c r="G42" s="18"/>
      <c r="H42" s="80"/>
      <c r="I42" s="19">
        <f>E42*50/C42</f>
        <v>1.5384615384615385E-2</v>
      </c>
      <c r="J42" s="87">
        <f>(D42-$C4)/$C4</f>
        <v>0.15022834766598112</v>
      </c>
    </row>
    <row r="43" spans="1:11" ht="13" thickBot="1">
      <c r="A43" s="78"/>
      <c r="B43" s="13"/>
      <c r="C43" s="22"/>
      <c r="D43" s="23"/>
      <c r="E43" s="23"/>
      <c r="F43" s="27"/>
      <c r="G43" s="23"/>
      <c r="H43" s="10"/>
      <c r="I43" s="24"/>
      <c r="J43" s="86"/>
    </row>
    <row r="44" spans="1:11">
      <c r="A44" s="103">
        <v>9</v>
      </c>
      <c r="B44" s="81">
        <f>B42+7</f>
        <v>43107</v>
      </c>
      <c r="C44" s="20">
        <f>D42+G42-H42</f>
        <v>2300.4566953319622</v>
      </c>
      <c r="D44" s="17">
        <f>C44+(C44*-0.0579)</f>
        <v>2167.2602526722417</v>
      </c>
      <c r="E44" s="17">
        <f>C44/3250</f>
        <v>0.70783282933291147</v>
      </c>
      <c r="F44" s="37">
        <f>(D44-C44)/E44</f>
        <v>-188.17499999999993</v>
      </c>
      <c r="G44" s="18"/>
      <c r="H44" s="18"/>
      <c r="I44" s="19">
        <f>E44*50/C44</f>
        <v>1.5384615384615385E-2</v>
      </c>
      <c r="J44" s="87">
        <f>(D44-$C4)/$C4</f>
        <v>8.3630126336120839E-2</v>
      </c>
    </row>
    <row r="45" spans="1:11">
      <c r="A45" s="104"/>
      <c r="B45" s="81">
        <f>B44+7</f>
        <v>43114</v>
      </c>
      <c r="C45" s="20">
        <f>D44+G44-H44</f>
        <v>2167.2602526722417</v>
      </c>
      <c r="D45" s="99">
        <f>C45+(C45*-0.1565)</f>
        <v>1828.0840231290358</v>
      </c>
      <c r="E45" s="17">
        <f>C45/3250</f>
        <v>0.66684930851453594</v>
      </c>
      <c r="F45" s="95">
        <f>(D45-C45)/E45</f>
        <v>-508.62500000000006</v>
      </c>
      <c r="G45" s="18"/>
      <c r="H45" s="18"/>
      <c r="I45" s="19">
        <f>E45*50/C45</f>
        <v>1.5384615384615387E-2</v>
      </c>
      <c r="J45" s="90">
        <f>(D45-$C4)/$C4</f>
        <v>-8.5957988435482094E-2</v>
      </c>
    </row>
    <row r="46" spans="1:11">
      <c r="A46" s="104"/>
      <c r="B46" s="81">
        <f>B45+7</f>
        <v>43121</v>
      </c>
      <c r="C46" s="20">
        <f>D45+G45-H45</f>
        <v>1828.0840231290358</v>
      </c>
      <c r="D46" s="99">
        <f>C46+(C46*-0.2248)</f>
        <v>1417.1307347296286</v>
      </c>
      <c r="E46" s="17">
        <f>C46/3250</f>
        <v>0.56248739173201101</v>
      </c>
      <c r="F46" s="95">
        <f>(D46-C46)/E46</f>
        <v>-730.6</v>
      </c>
      <c r="G46" s="18"/>
      <c r="H46" s="18"/>
      <c r="I46" s="19">
        <f>E46*50/C46</f>
        <v>1.5384615384615385E-2</v>
      </c>
      <c r="J46" s="93">
        <f>(D46-$C4)/$C4</f>
        <v>-0.29143463263518571</v>
      </c>
    </row>
    <row r="47" spans="1:11" ht="15" thickBot="1">
      <c r="A47" s="105"/>
      <c r="B47" s="81">
        <f>B46+7</f>
        <v>43128</v>
      </c>
      <c r="C47" s="32">
        <f>D46+G46-H46</f>
        <v>1417.1307347296286</v>
      </c>
      <c r="D47" s="17">
        <f>C47+(C47*0.03)</f>
        <v>1459.6446567715175</v>
      </c>
      <c r="E47" s="17">
        <f>C47/3250</f>
        <v>0.43604022607065496</v>
      </c>
      <c r="F47" s="28">
        <f>(D47-C47)/E47</f>
        <v>97.500000000000142</v>
      </c>
      <c r="G47" s="18"/>
      <c r="H47" s="80">
        <f>(D47-C34)*0.35</f>
        <v>-295.52905140139632</v>
      </c>
      <c r="I47" s="19">
        <f>E47*50/C47</f>
        <v>1.5384615384615385E-2</v>
      </c>
      <c r="J47" s="85"/>
      <c r="K47" s="102" t="s">
        <v>49</v>
      </c>
    </row>
    <row r="48" spans="1:11" ht="13" thickBot="1">
      <c r="A48" s="78"/>
      <c r="B48" s="13"/>
      <c r="C48" s="22"/>
      <c r="D48" s="23"/>
      <c r="E48" s="23"/>
      <c r="F48" s="27"/>
      <c r="G48" s="23"/>
      <c r="H48" s="10"/>
      <c r="I48" s="24"/>
      <c r="J48" s="86"/>
    </row>
    <row r="49" spans="1:11">
      <c r="A49" s="103">
        <v>10</v>
      </c>
      <c r="B49" s="81">
        <f>B47+7</f>
        <v>43135</v>
      </c>
      <c r="C49" s="20">
        <f>D47+G47-H47</f>
        <v>1755.1737081729138</v>
      </c>
      <c r="D49" s="17">
        <f>C49+(C49*0.03)</f>
        <v>1807.8289194181013</v>
      </c>
      <c r="E49" s="17">
        <f>C49/3250</f>
        <v>0.54005344866858884</v>
      </c>
      <c r="F49" s="28">
        <f>(D49-C49)/E49</f>
        <v>97.500000000000171</v>
      </c>
      <c r="G49" s="18"/>
      <c r="H49" s="18"/>
      <c r="I49" s="19">
        <f>E49*50/C49</f>
        <v>1.5384615384615384E-2</v>
      </c>
      <c r="J49" s="85"/>
    </row>
    <row r="50" spans="1:11">
      <c r="A50" s="104"/>
      <c r="B50" s="81">
        <f>B49+7</f>
        <v>43142</v>
      </c>
      <c r="C50" s="20">
        <f>D49+G49-H49</f>
        <v>1807.8289194181013</v>
      </c>
      <c r="D50" s="17">
        <f>C50+(C50*0.03)</f>
        <v>1862.0637870006444</v>
      </c>
      <c r="E50" s="17">
        <f>C50/3250</f>
        <v>0.55625505212864657</v>
      </c>
      <c r="F50" s="28">
        <f>(D50-C50)/E50</f>
        <v>97.500000000000057</v>
      </c>
      <c r="G50" s="18"/>
      <c r="H50" s="18"/>
      <c r="I50" s="19">
        <f>E50*50/C50</f>
        <v>1.5384615384615385E-2</v>
      </c>
      <c r="J50" s="85"/>
    </row>
    <row r="51" spans="1:11">
      <c r="A51" s="104"/>
      <c r="B51" s="81">
        <f>B50+7</f>
        <v>43149</v>
      </c>
      <c r="C51" s="20">
        <f>D50+G50-H50</f>
        <v>1862.0637870006444</v>
      </c>
      <c r="D51" s="17">
        <f>C51+(C51*0.03)</f>
        <v>1917.9257006106639</v>
      </c>
      <c r="E51" s="17">
        <f>C51/3250</f>
        <v>0.57294270369250599</v>
      </c>
      <c r="F51" s="28">
        <f>(D51-C51)/E51</f>
        <v>97.500000000000171</v>
      </c>
      <c r="G51" s="18"/>
      <c r="H51" s="18"/>
      <c r="I51" s="19">
        <f>E51*50/C51</f>
        <v>1.5384615384615384E-2</v>
      </c>
      <c r="J51" s="85"/>
    </row>
    <row r="52" spans="1:11" ht="13" thickBot="1">
      <c r="A52" s="105"/>
      <c r="B52" s="81">
        <f>B51+7</f>
        <v>43156</v>
      </c>
      <c r="C52" s="20">
        <f>D51+G51-H51</f>
        <v>1917.9257006106639</v>
      </c>
      <c r="D52" s="17">
        <f>C52+(C52*0.03)</f>
        <v>1975.4634716289838</v>
      </c>
      <c r="E52" s="17">
        <f>C52/3250</f>
        <v>0.59013098480328119</v>
      </c>
      <c r="F52" s="28">
        <f>(D52-C52)/E52</f>
        <v>97.500000000000099</v>
      </c>
      <c r="G52" s="18"/>
      <c r="H52" s="80"/>
      <c r="I52" s="19">
        <f>E52*50/C52</f>
        <v>1.5384615384615384E-2</v>
      </c>
      <c r="J52" s="85"/>
    </row>
    <row r="53" spans="1:11" ht="13" thickBot="1">
      <c r="A53" s="78"/>
      <c r="B53" s="13"/>
      <c r="C53" s="22"/>
      <c r="D53" s="23"/>
      <c r="E53" s="23"/>
      <c r="F53" s="27"/>
      <c r="G53" s="23"/>
      <c r="H53" s="10"/>
      <c r="I53" s="24"/>
      <c r="J53" s="86"/>
    </row>
    <row r="54" spans="1:11">
      <c r="A54" s="103">
        <v>11</v>
      </c>
      <c r="B54" s="81">
        <f>B52+7</f>
        <v>43163</v>
      </c>
      <c r="C54" s="20">
        <f>D52+G52-H52</f>
        <v>1975.4634716289838</v>
      </c>
      <c r="D54" s="17">
        <f>C54+(C54*0.03)</f>
        <v>2034.7273757778532</v>
      </c>
      <c r="E54" s="17">
        <f>C54/3250</f>
        <v>0.60783491434737968</v>
      </c>
      <c r="F54" s="28">
        <f>(D54-C54)/E54</f>
        <v>97.499999999999829</v>
      </c>
      <c r="G54" s="18"/>
      <c r="H54" s="18"/>
      <c r="I54" s="19">
        <f>E54*50/C54</f>
        <v>1.5384615384615385E-2</v>
      </c>
      <c r="J54" s="85"/>
    </row>
    <row r="55" spans="1:11">
      <c r="A55" s="104"/>
      <c r="B55" s="81">
        <f>B54+7</f>
        <v>43170</v>
      </c>
      <c r="C55" s="20">
        <f>D54+G54-H54</f>
        <v>2034.7273757778532</v>
      </c>
      <c r="D55" s="17">
        <f>C55+(C55*0.03)</f>
        <v>2095.7691970511887</v>
      </c>
      <c r="E55" s="17">
        <f>C55/3250</f>
        <v>0.62606996177780094</v>
      </c>
      <c r="F55" s="28">
        <f>(D55-C55)/E55</f>
        <v>97.499999999999815</v>
      </c>
      <c r="G55" s="18"/>
      <c r="H55" s="18"/>
      <c r="I55" s="19">
        <f>E55*50/C55</f>
        <v>1.5384615384615384E-2</v>
      </c>
      <c r="J55" s="85"/>
    </row>
    <row r="56" spans="1:11">
      <c r="A56" s="104"/>
      <c r="B56" s="81">
        <f>B55+7</f>
        <v>43177</v>
      </c>
      <c r="C56" s="20">
        <f>D55+G55-H55</f>
        <v>2095.7691970511887</v>
      </c>
      <c r="D56" s="17">
        <f>C56+(C56*0.03)</f>
        <v>2158.6422729627243</v>
      </c>
      <c r="E56" s="17">
        <f>C56/3250</f>
        <v>0.64485206063113498</v>
      </c>
      <c r="F56" s="28">
        <f>(D56-C56)/E56</f>
        <v>97.499999999999872</v>
      </c>
      <c r="G56" s="18"/>
      <c r="H56" s="18"/>
      <c r="I56" s="19">
        <f>E56*50/C56</f>
        <v>1.5384615384615384E-2</v>
      </c>
      <c r="J56" s="85"/>
    </row>
    <row r="57" spans="1:11" ht="13" thickBot="1">
      <c r="A57" s="105"/>
      <c r="B57" s="81">
        <f>B56+7</f>
        <v>43184</v>
      </c>
      <c r="C57" s="20">
        <f>D56+G56-H56</f>
        <v>2158.6422729627243</v>
      </c>
      <c r="D57" s="17">
        <f>C57+(C57*0.03)</f>
        <v>2223.4015411516061</v>
      </c>
      <c r="E57" s="17">
        <f>C57/3250</f>
        <v>0.66419762245006897</v>
      </c>
      <c r="F57" s="28">
        <f>(D57-C57)/E57</f>
        <v>97.500000000000171</v>
      </c>
      <c r="G57" s="18"/>
      <c r="H57" s="80"/>
      <c r="I57" s="19">
        <f>E57*50/C57</f>
        <v>1.5384615384615382E-2</v>
      </c>
      <c r="J57" s="85"/>
    </row>
    <row r="58" spans="1:11" ht="13" thickBot="1">
      <c r="A58" s="78"/>
      <c r="B58" s="13"/>
      <c r="C58" s="22"/>
      <c r="D58" s="23"/>
      <c r="E58" s="23"/>
      <c r="F58" s="27"/>
      <c r="G58" s="23"/>
      <c r="H58" s="10"/>
      <c r="I58" s="24"/>
      <c r="J58" s="86"/>
    </row>
    <row r="59" spans="1:11">
      <c r="A59" s="103">
        <v>12</v>
      </c>
      <c r="B59" s="81">
        <f>B57+7</f>
        <v>43191</v>
      </c>
      <c r="C59" s="20">
        <f>D57+G57-H57</f>
        <v>2223.4015411516061</v>
      </c>
      <c r="D59" s="17">
        <f>C59+(C59*0.03)</f>
        <v>2290.1035873861542</v>
      </c>
      <c r="E59" s="17">
        <f>C59/3250</f>
        <v>0.68412355112357115</v>
      </c>
      <c r="F59" s="28">
        <f>(D59-C59)/E59</f>
        <v>97.499999999999886</v>
      </c>
      <c r="G59" s="18"/>
      <c r="H59" s="18"/>
      <c r="I59" s="19">
        <f>E59*50/C59</f>
        <v>1.5384615384615385E-2</v>
      </c>
      <c r="J59" s="85"/>
    </row>
    <row r="60" spans="1:11">
      <c r="A60" s="104"/>
      <c r="B60" s="81">
        <f>B59+7</f>
        <v>43198</v>
      </c>
      <c r="C60" s="20">
        <f>D59+G59-H59</f>
        <v>2290.1035873861542</v>
      </c>
      <c r="D60" s="17">
        <f>C60+(C60*0.03)</f>
        <v>2358.8066950077387</v>
      </c>
      <c r="E60" s="17">
        <f>C60/3250</f>
        <v>0.7046472576572782</v>
      </c>
      <c r="F60" s="28">
        <f>(D60-C60)/E60</f>
        <v>97.499999999999716</v>
      </c>
      <c r="G60" s="18"/>
      <c r="H60" s="18"/>
      <c r="I60" s="19">
        <f>E60*50/C60</f>
        <v>1.5384615384615384E-2</v>
      </c>
      <c r="J60" s="85"/>
    </row>
    <row r="61" spans="1:11">
      <c r="A61" s="104"/>
      <c r="B61" s="81">
        <f>B60+7</f>
        <v>43205</v>
      </c>
      <c r="C61" s="20">
        <f>D60+G60-H60</f>
        <v>2358.8066950077387</v>
      </c>
      <c r="D61" s="17">
        <f>C61+(C61*0.03)</f>
        <v>2429.5708958579708</v>
      </c>
      <c r="E61" s="17">
        <f>C61/3250</f>
        <v>0.72578667538699648</v>
      </c>
      <c r="F61" s="28">
        <f>(D61-C61)/E61</f>
        <v>97.499999999999929</v>
      </c>
      <c r="G61" s="18"/>
      <c r="H61" s="18"/>
      <c r="I61" s="19">
        <f>E61*50/C61</f>
        <v>1.5384615384615384E-2</v>
      </c>
      <c r="J61" s="85"/>
    </row>
    <row r="62" spans="1:11" ht="13.5" thickBot="1">
      <c r="A62" s="105"/>
      <c r="B62" s="81">
        <f>B61+7</f>
        <v>43212</v>
      </c>
      <c r="C62" s="20">
        <f>D61+G61-H61</f>
        <v>2429.5708958579708</v>
      </c>
      <c r="D62" s="17">
        <f>C62+(C62*0.03)</f>
        <v>2502.4580227337101</v>
      </c>
      <c r="E62" s="17">
        <f>C62/3250</f>
        <v>0.74756027564860639</v>
      </c>
      <c r="F62" s="28">
        <f>(D62-C62)/E62</f>
        <v>97.500000000000298</v>
      </c>
      <c r="G62" s="18"/>
      <c r="H62" s="80">
        <f>(D62-C49)*0.35</f>
        <v>261.54951009627865</v>
      </c>
      <c r="I62" s="19">
        <f>E62*50/C62</f>
        <v>1.5384615384615385E-2</v>
      </c>
      <c r="J62" s="85"/>
      <c r="K62" s="102" t="s">
        <v>49</v>
      </c>
    </row>
    <row r="63" spans="1:11" ht="13" thickBot="1">
      <c r="A63" s="78"/>
      <c r="B63" s="13"/>
      <c r="C63" s="22"/>
      <c r="D63" s="23"/>
      <c r="E63" s="23"/>
      <c r="F63" s="27"/>
      <c r="G63" s="23"/>
      <c r="H63" s="10"/>
      <c r="I63" s="24"/>
      <c r="J63" s="86"/>
    </row>
    <row r="64" spans="1:11">
      <c r="A64" s="103">
        <v>13</v>
      </c>
      <c r="B64" s="81">
        <f>B62+7</f>
        <v>43219</v>
      </c>
      <c r="C64" s="20">
        <f>D62+G62-H62</f>
        <v>2240.9085126374316</v>
      </c>
      <c r="D64" s="17">
        <f>C64+(C64*0.03)</f>
        <v>2308.1357680165547</v>
      </c>
      <c r="E64" s="17">
        <f>C64/3250</f>
        <v>0.68951031158074816</v>
      </c>
      <c r="F64" s="28">
        <f>(D64-C64)/E64</f>
        <v>97.500000000000242</v>
      </c>
      <c r="G64" s="17"/>
      <c r="H64" s="79"/>
      <c r="I64" s="19">
        <f>E64*50/C64</f>
        <v>1.5384615384615384E-2</v>
      </c>
      <c r="J64" s="85"/>
    </row>
    <row r="65" spans="1:11">
      <c r="A65" s="104"/>
      <c r="B65" s="81">
        <f>B64+7</f>
        <v>43226</v>
      </c>
      <c r="C65" s="20">
        <f>D64+G64-H64</f>
        <v>2308.1357680165547</v>
      </c>
      <c r="D65" s="17">
        <f>C65+(C65*0.03)</f>
        <v>2377.3798410570512</v>
      </c>
      <c r="E65" s="17">
        <f>C65/3250</f>
        <v>0.71019562092817068</v>
      </c>
      <c r="F65" s="28">
        <f>(D65-C65)/E65</f>
        <v>97.499999999999744</v>
      </c>
      <c r="G65" s="17"/>
      <c r="H65" s="79"/>
      <c r="I65" s="19">
        <f>E65*50/C65</f>
        <v>1.5384615384615385E-2</v>
      </c>
      <c r="J65" s="85"/>
    </row>
    <row r="66" spans="1:11">
      <c r="A66" s="104"/>
      <c r="B66" s="81">
        <f>B65+7</f>
        <v>43233</v>
      </c>
      <c r="C66" s="20">
        <f>D65+G65-H65</f>
        <v>2377.3798410570512</v>
      </c>
      <c r="D66" s="17">
        <f>C66+(C66*0.03)</f>
        <v>2448.7012362887626</v>
      </c>
      <c r="E66" s="17">
        <f>C66/3250</f>
        <v>0.73150148955601579</v>
      </c>
      <c r="F66" s="28">
        <f>(D66-C66)/E66</f>
        <v>97.499999999999872</v>
      </c>
      <c r="G66" s="17"/>
      <c r="H66" s="79"/>
      <c r="I66" s="19">
        <f>E66*50/C66</f>
        <v>1.5384615384615385E-2</v>
      </c>
      <c r="J66" s="85"/>
    </row>
    <row r="67" spans="1:11" ht="13" thickBot="1">
      <c r="A67" s="105"/>
      <c r="B67" s="81">
        <f>B66+7</f>
        <v>43240</v>
      </c>
      <c r="C67" s="20">
        <f>D66+G66-H66</f>
        <v>2448.7012362887626</v>
      </c>
      <c r="D67" s="17">
        <f>C67+(C67*0.03)</f>
        <v>2522.1622733774257</v>
      </c>
      <c r="E67" s="17">
        <f>C67/3250</f>
        <v>0.75344653424269614</v>
      </c>
      <c r="F67" s="28">
        <f>(D67-C67)/E67</f>
        <v>97.500000000000213</v>
      </c>
      <c r="G67" s="18"/>
      <c r="H67" s="80"/>
      <c r="I67" s="19">
        <f>E67*50/C67</f>
        <v>1.5384615384615382E-2</v>
      </c>
      <c r="J67" s="85"/>
    </row>
    <row r="68" spans="1:11" ht="13" thickBot="1">
      <c r="A68" s="78"/>
      <c r="B68" s="13"/>
      <c r="C68" s="22"/>
      <c r="D68" s="23"/>
      <c r="E68" s="23"/>
      <c r="F68" s="27"/>
      <c r="G68" s="23"/>
      <c r="H68" s="10"/>
      <c r="I68" s="24"/>
      <c r="J68" s="86"/>
    </row>
    <row r="69" spans="1:11">
      <c r="A69" s="103">
        <v>14</v>
      </c>
      <c r="B69" s="81">
        <f>B67+7</f>
        <v>43247</v>
      </c>
      <c r="C69" s="20">
        <f>D67+G67-H67</f>
        <v>2522.1622733774257</v>
      </c>
      <c r="D69" s="17">
        <f>C69+(C69*0.03)</f>
        <v>2597.8271415787485</v>
      </c>
      <c r="E69" s="17">
        <f>C69/3250</f>
        <v>0.77604993026997715</v>
      </c>
      <c r="F69" s="28">
        <f>(D69-C69)/E69</f>
        <v>97.500000000000114</v>
      </c>
      <c r="G69" s="18"/>
      <c r="H69" s="18"/>
      <c r="I69" s="19">
        <f>E69*50/C69</f>
        <v>1.5384615384615385E-2</v>
      </c>
      <c r="J69" s="85"/>
    </row>
    <row r="70" spans="1:11">
      <c r="A70" s="104"/>
      <c r="B70" s="81">
        <f>B69+7</f>
        <v>43254</v>
      </c>
      <c r="C70" s="20">
        <f>D69+G69-H69</f>
        <v>2597.8271415787485</v>
      </c>
      <c r="D70" s="17">
        <f>C70+(C70*0.03)</f>
        <v>2675.7619558261108</v>
      </c>
      <c r="E70" s="17">
        <f>C70/3250</f>
        <v>0.79933142817807645</v>
      </c>
      <c r="F70" s="28">
        <f>(D70-C70)/E70</f>
        <v>97.499999999999787</v>
      </c>
      <c r="G70" s="18"/>
      <c r="H70" s="18"/>
      <c r="I70" s="19">
        <f>E70*50/C70</f>
        <v>1.5384615384615385E-2</v>
      </c>
      <c r="J70" s="85"/>
    </row>
    <row r="71" spans="1:11">
      <c r="A71" s="104"/>
      <c r="B71" s="81">
        <f>B70+7</f>
        <v>43261</v>
      </c>
      <c r="C71" s="20">
        <f>D70+G70-H70</f>
        <v>2675.7619558261108</v>
      </c>
      <c r="D71" s="17">
        <f>C71+(C71*0.03)</f>
        <v>2756.0348145008943</v>
      </c>
      <c r="E71" s="17">
        <f>C71/3250</f>
        <v>0.82331137102341867</v>
      </c>
      <c r="F71" s="28">
        <f>(D71-C71)/E71</f>
        <v>97.500000000000213</v>
      </c>
      <c r="G71" s="18"/>
      <c r="H71" s="18"/>
      <c r="I71" s="19">
        <f>E71*50/C71</f>
        <v>1.5384615384615384E-2</v>
      </c>
      <c r="J71" s="85"/>
    </row>
    <row r="72" spans="1:11" ht="13" thickBot="1">
      <c r="A72" s="105"/>
      <c r="B72" s="81">
        <f>B71+7</f>
        <v>43268</v>
      </c>
      <c r="C72" s="20">
        <f>D71+G71-H71</f>
        <v>2756.0348145008943</v>
      </c>
      <c r="D72" s="17">
        <f>C72+(C72*0.03)</f>
        <v>2838.715858935921</v>
      </c>
      <c r="E72" s="17">
        <f>C72/3250</f>
        <v>0.84801071215412127</v>
      </c>
      <c r="F72" s="28">
        <f>(D72-C72)/E72</f>
        <v>97.499999999999858</v>
      </c>
      <c r="G72" s="18"/>
      <c r="H72" s="80"/>
      <c r="I72" s="19">
        <f>E72*50/C72</f>
        <v>1.5384615384615382E-2</v>
      </c>
      <c r="J72" s="85"/>
    </row>
    <row r="73" spans="1:11" ht="13" thickBot="1">
      <c r="A73" s="78"/>
      <c r="B73" s="13"/>
      <c r="C73" s="22"/>
      <c r="D73" s="23"/>
      <c r="E73" s="23"/>
      <c r="F73" s="27"/>
      <c r="G73" s="23"/>
      <c r="H73" s="10"/>
      <c r="I73" s="24"/>
      <c r="J73" s="86"/>
    </row>
    <row r="74" spans="1:11">
      <c r="A74" s="103">
        <v>15</v>
      </c>
      <c r="B74" s="81">
        <f>B72+7</f>
        <v>43275</v>
      </c>
      <c r="C74" s="20">
        <f>D72+G72-H72</f>
        <v>2838.715858935921</v>
      </c>
      <c r="D74" s="17">
        <f>C74+(C74*0.03)</f>
        <v>2923.8773347039987</v>
      </c>
      <c r="E74" s="17">
        <f>C74/3250</f>
        <v>0.87345103351874498</v>
      </c>
      <c r="F74" s="28">
        <f>(D74-C74)/E74</f>
        <v>97.500000000000085</v>
      </c>
      <c r="G74" s="18"/>
      <c r="H74" s="18"/>
      <c r="I74" s="19">
        <f>E74*50/C74</f>
        <v>1.5384615384615385E-2</v>
      </c>
      <c r="J74" s="85"/>
    </row>
    <row r="75" spans="1:11">
      <c r="A75" s="104"/>
      <c r="B75" s="81">
        <f>B74+7</f>
        <v>43282</v>
      </c>
      <c r="C75" s="20">
        <f>D74+G74-H74</f>
        <v>2923.8773347039987</v>
      </c>
      <c r="D75" s="17">
        <f>C75+(C75*0.03)</f>
        <v>3011.5936547451188</v>
      </c>
      <c r="E75" s="17">
        <f>C75/3250</f>
        <v>0.89965456452430725</v>
      </c>
      <c r="F75" s="28">
        <f>(D75-C75)/E75</f>
        <v>97.500000000000128</v>
      </c>
      <c r="G75" s="18"/>
      <c r="H75" s="18"/>
      <c r="I75" s="19">
        <f>E75*50/C75</f>
        <v>1.5384615384615384E-2</v>
      </c>
      <c r="J75" s="85"/>
    </row>
    <row r="76" spans="1:11">
      <c r="A76" s="104"/>
      <c r="B76" s="81">
        <f>B75+7</f>
        <v>43289</v>
      </c>
      <c r="C76" s="20">
        <f>D75+G75-H75</f>
        <v>3011.5936547451188</v>
      </c>
      <c r="D76" s="17">
        <f>C76+(C76*0.03)</f>
        <v>3101.9414643874725</v>
      </c>
      <c r="E76" s="17">
        <f>C76/3250</f>
        <v>0.92664420146003657</v>
      </c>
      <c r="F76" s="28">
        <f>(D76-C76)/E76</f>
        <v>97.500000000000142</v>
      </c>
      <c r="G76" s="18"/>
      <c r="H76" s="18"/>
      <c r="I76" s="19">
        <f>E76*50/C76</f>
        <v>1.5384615384615384E-2</v>
      </c>
      <c r="J76" s="85"/>
    </row>
    <row r="77" spans="1:11" ht="13.5" thickBot="1">
      <c r="A77" s="105"/>
      <c r="B77" s="81">
        <f>B76+7</f>
        <v>43296</v>
      </c>
      <c r="C77" s="20">
        <f>D76+G76-H76</f>
        <v>3101.9414643874725</v>
      </c>
      <c r="D77" s="17">
        <f>C77+(C77*0.03)</f>
        <v>3194.9997083190965</v>
      </c>
      <c r="E77" s="17">
        <f>C77/3250</f>
        <v>0.95444352750383765</v>
      </c>
      <c r="F77" s="28">
        <f>(D77-C77)/E77</f>
        <v>97.499999999999844</v>
      </c>
      <c r="G77" s="18"/>
      <c r="H77" s="80">
        <f>(D77-C64)*0.35</f>
        <v>333.93191848858271</v>
      </c>
      <c r="I77" s="19">
        <f>E77*50/C77</f>
        <v>1.5384615384615385E-2</v>
      </c>
      <c r="J77" s="85"/>
      <c r="K77" s="102" t="s">
        <v>49</v>
      </c>
    </row>
    <row r="78" spans="1:11" ht="13" thickBot="1">
      <c r="A78" s="78"/>
      <c r="B78" s="13"/>
      <c r="C78" s="22"/>
      <c r="D78" s="23"/>
      <c r="E78" s="23"/>
      <c r="F78" s="27"/>
      <c r="G78" s="23"/>
      <c r="H78" s="10"/>
      <c r="I78" s="24"/>
      <c r="J78" s="86"/>
    </row>
    <row r="79" spans="1:11">
      <c r="A79" s="103">
        <v>16</v>
      </c>
      <c r="B79" s="81">
        <f>B77+7</f>
        <v>43303</v>
      </c>
      <c r="C79" s="20">
        <f>D77+G77-H77</f>
        <v>2861.0677898305139</v>
      </c>
      <c r="D79" s="17">
        <f>C79+(C79*0.03)</f>
        <v>2946.8998235254294</v>
      </c>
      <c r="E79" s="17">
        <f>C79/3250</f>
        <v>0.88032855071708116</v>
      </c>
      <c r="F79" s="28">
        <f>(D79-C79)/E79</f>
        <v>97.500000000000071</v>
      </c>
      <c r="G79" s="18"/>
      <c r="H79" s="18"/>
      <c r="I79" s="19">
        <f>E79*50/C79</f>
        <v>1.5384615384615384E-2</v>
      </c>
      <c r="J79" s="85"/>
    </row>
    <row r="80" spans="1:11">
      <c r="A80" s="104"/>
      <c r="B80" s="81">
        <f>B79+7</f>
        <v>43310</v>
      </c>
      <c r="C80" s="20">
        <f>D79+G79-H79</f>
        <v>2946.8998235254294</v>
      </c>
      <c r="D80" s="17">
        <f>C80+(C80*0.03)</f>
        <v>3035.3068182311922</v>
      </c>
      <c r="E80" s="17">
        <f>C80/3250</f>
        <v>0.90673840723859367</v>
      </c>
      <c r="F80" s="28">
        <f>(D80-C80)/E80</f>
        <v>97.499999999999943</v>
      </c>
      <c r="G80" s="18"/>
      <c r="H80" s="18"/>
      <c r="I80" s="19">
        <f>E80*50/C80</f>
        <v>1.5384615384615385E-2</v>
      </c>
      <c r="J80" s="85"/>
    </row>
    <row r="81" spans="1:11">
      <c r="A81" s="104"/>
      <c r="B81" s="81">
        <f>B80+7</f>
        <v>43317</v>
      </c>
      <c r="C81" s="20">
        <f>D80+G80-H80</f>
        <v>3035.3068182311922</v>
      </c>
      <c r="D81" s="17">
        <f>C81+(C81*0.03)</f>
        <v>3126.3660227781279</v>
      </c>
      <c r="E81" s="17">
        <f>C81/3250</f>
        <v>0.9339405594557515</v>
      </c>
      <c r="F81" s="28">
        <f>(D81-C81)/E81</f>
        <v>97.499999999999915</v>
      </c>
      <c r="G81" s="18"/>
      <c r="H81" s="18"/>
      <c r="I81" s="19">
        <f>E81*50/C81</f>
        <v>1.5384615384615385E-2</v>
      </c>
      <c r="J81" s="85"/>
    </row>
    <row r="82" spans="1:11" ht="13" thickBot="1">
      <c r="A82" s="105"/>
      <c r="B82" s="81">
        <f>B81+7</f>
        <v>43324</v>
      </c>
      <c r="C82" s="20">
        <f>D81+G81-H81</f>
        <v>3126.3660227781279</v>
      </c>
      <c r="D82" s="17">
        <f>C82+(C82*0.03)</f>
        <v>3220.1570034614715</v>
      </c>
      <c r="E82" s="17">
        <f>C82/3250</f>
        <v>0.96195877623942394</v>
      </c>
      <c r="F82" s="28">
        <f>(D82-C82)/E82</f>
        <v>97.499999999999758</v>
      </c>
      <c r="G82" s="18"/>
      <c r="H82" s="80"/>
      <c r="I82" s="19">
        <f>E82*50/C82</f>
        <v>1.5384615384615384E-2</v>
      </c>
      <c r="J82" s="85"/>
    </row>
    <row r="83" spans="1:11" ht="13" thickBot="1">
      <c r="A83" s="78"/>
      <c r="B83" s="13"/>
      <c r="C83" s="22"/>
      <c r="D83" s="23"/>
      <c r="E83" s="23"/>
      <c r="F83" s="27"/>
      <c r="G83" s="23"/>
      <c r="H83" s="10"/>
      <c r="I83" s="24"/>
      <c r="J83" s="86"/>
    </row>
    <row r="84" spans="1:11">
      <c r="A84" s="103">
        <v>17</v>
      </c>
      <c r="B84" s="81">
        <f>B82+7</f>
        <v>43331</v>
      </c>
      <c r="C84" s="20">
        <f>D82+G82-H82</f>
        <v>3220.1570034614715</v>
      </c>
      <c r="D84" s="17">
        <f>C84+(C84*0.03)</f>
        <v>3316.7617135653159</v>
      </c>
      <c r="E84" s="17">
        <f>C84/3250</f>
        <v>0.99081753952660667</v>
      </c>
      <c r="F84" s="28">
        <f>(D84-C84)/E84</f>
        <v>97.500000000000199</v>
      </c>
      <c r="G84" s="18"/>
      <c r="H84" s="18"/>
      <c r="I84" s="19">
        <f>E84*50/C84</f>
        <v>1.5384615384615385E-2</v>
      </c>
      <c r="J84" s="85"/>
    </row>
    <row r="85" spans="1:11">
      <c r="A85" s="104"/>
      <c r="B85" s="81">
        <f>B84+7</f>
        <v>43338</v>
      </c>
      <c r="C85" s="20">
        <f>D84+G84-H84</f>
        <v>3316.7617135653159</v>
      </c>
      <c r="D85" s="17">
        <f>C85+(C85*0.03)</f>
        <v>3416.2645649722754</v>
      </c>
      <c r="E85" s="17">
        <f>C85/3250</f>
        <v>1.0205420657124049</v>
      </c>
      <c r="F85" s="28">
        <f>(D85-C85)/E85</f>
        <v>97.500000000000028</v>
      </c>
      <c r="G85" s="18"/>
      <c r="H85" s="18"/>
      <c r="I85" s="19">
        <f>E85*50/C85</f>
        <v>1.5384615384615384E-2</v>
      </c>
      <c r="J85" s="85"/>
    </row>
    <row r="86" spans="1:11">
      <c r="A86" s="104"/>
      <c r="B86" s="81">
        <f>B85+7</f>
        <v>43345</v>
      </c>
      <c r="C86" s="20">
        <f>D85+G85-H85</f>
        <v>3416.2645649722754</v>
      </c>
      <c r="D86" s="17">
        <f>C86+(C86*0.03)</f>
        <v>3518.7525019214436</v>
      </c>
      <c r="E86" s="17">
        <f>C86/3250</f>
        <v>1.051158327683777</v>
      </c>
      <c r="F86" s="28">
        <f>(D86-C86)/E86</f>
        <v>97.499999999999957</v>
      </c>
      <c r="G86" s="18"/>
      <c r="H86" s="18"/>
      <c r="I86" s="19">
        <f>E86*50/C86</f>
        <v>1.5384615384615384E-2</v>
      </c>
      <c r="J86" s="85"/>
    </row>
    <row r="87" spans="1:11" ht="13" thickBot="1">
      <c r="A87" s="105"/>
      <c r="B87" s="81">
        <f>B86+7</f>
        <v>43352</v>
      </c>
      <c r="C87" s="20">
        <f>D86+G86-H86</f>
        <v>3518.7525019214436</v>
      </c>
      <c r="D87" s="17">
        <f>C87+(C87*0.03)</f>
        <v>3624.3150769790868</v>
      </c>
      <c r="E87" s="17">
        <f>C87/3250</f>
        <v>1.0826930775142902</v>
      </c>
      <c r="F87" s="28">
        <f>(D87-C87)/E87</f>
        <v>97.499999999999957</v>
      </c>
      <c r="G87" s="18"/>
      <c r="H87" s="80"/>
      <c r="I87" s="19">
        <f>E87*50/C87</f>
        <v>1.5384615384615384E-2</v>
      </c>
      <c r="J87" s="85"/>
    </row>
    <row r="88" spans="1:11" ht="13" thickBot="1">
      <c r="A88" s="78"/>
      <c r="B88" s="13"/>
      <c r="C88" s="22"/>
      <c r="D88" s="23"/>
      <c r="E88" s="23"/>
      <c r="F88" s="27"/>
      <c r="G88" s="23"/>
      <c r="H88" s="10"/>
      <c r="I88" s="24"/>
      <c r="J88" s="86"/>
    </row>
    <row r="89" spans="1:11">
      <c r="A89" s="103">
        <v>18</v>
      </c>
      <c r="B89" s="81">
        <f>B87+7</f>
        <v>43359</v>
      </c>
      <c r="C89" s="20">
        <f>D87+G87-H87</f>
        <v>3624.3150769790868</v>
      </c>
      <c r="D89" s="17">
        <f>C89+(C89*0.03)</f>
        <v>3733.0445292884592</v>
      </c>
      <c r="E89" s="17">
        <f>C89/3250</f>
        <v>1.1151738698397191</v>
      </c>
      <c r="F89" s="28">
        <f>(D89-C89)/E89</f>
        <v>97.499999999999801</v>
      </c>
      <c r="G89" s="18"/>
      <c r="H89" s="18"/>
      <c r="I89" s="19">
        <f>E89*50/C89</f>
        <v>1.5384615384615387E-2</v>
      </c>
      <c r="J89" s="85"/>
    </row>
    <row r="90" spans="1:11">
      <c r="A90" s="104"/>
      <c r="B90" s="81">
        <f>B89+7</f>
        <v>43366</v>
      </c>
      <c r="C90" s="20">
        <f>D89+G89-H89</f>
        <v>3733.0445292884592</v>
      </c>
      <c r="D90" s="17">
        <f>C90+(C90*0.03)</f>
        <v>3845.0358651671131</v>
      </c>
      <c r="E90" s="17">
        <f>C90/3250</f>
        <v>1.1486290859349104</v>
      </c>
      <c r="F90" s="28">
        <f>(D90-C90)/E90</f>
        <v>97.500000000000114</v>
      </c>
      <c r="G90" s="18"/>
      <c r="H90" s="18"/>
      <c r="I90" s="19">
        <f>E90*50/C90</f>
        <v>1.5384615384615384E-2</v>
      </c>
      <c r="J90" s="85"/>
    </row>
    <row r="91" spans="1:11">
      <c r="A91" s="104"/>
      <c r="B91" s="81">
        <f>B90+7</f>
        <v>43373</v>
      </c>
      <c r="C91" s="20">
        <f>D90+G90-H90</f>
        <v>3845.0358651671131</v>
      </c>
      <c r="D91" s="17">
        <f>C91+(C91*0.03)</f>
        <v>3960.3869411221267</v>
      </c>
      <c r="E91" s="17">
        <f>C91/3250</f>
        <v>1.1830879585129579</v>
      </c>
      <c r="F91" s="28">
        <f>(D91-C91)/E91</f>
        <v>97.500000000000156</v>
      </c>
      <c r="G91" s="18"/>
      <c r="H91" s="18"/>
      <c r="I91" s="19">
        <f>E91*50/C91</f>
        <v>1.5384615384615384E-2</v>
      </c>
      <c r="J91" s="85"/>
    </row>
    <row r="92" spans="1:11" ht="13.5" thickBot="1">
      <c r="A92" s="105"/>
      <c r="B92" s="81">
        <f>B91+7</f>
        <v>43380</v>
      </c>
      <c r="C92" s="20">
        <f>D91+G91-H91</f>
        <v>3960.3869411221267</v>
      </c>
      <c r="D92" s="17">
        <f>C92+(C92*0.03)</f>
        <v>4079.1985493557904</v>
      </c>
      <c r="E92" s="17">
        <f>C92/3250</f>
        <v>1.2185805972683468</v>
      </c>
      <c r="F92" s="28">
        <f>(D92-C92)/E92</f>
        <v>97.499999999999929</v>
      </c>
      <c r="G92" s="18"/>
      <c r="H92" s="80">
        <f>(D92-C79)*0.35</f>
        <v>426.34576583384677</v>
      </c>
      <c r="I92" s="19">
        <f>E92*50/C92</f>
        <v>1.5384615384615387E-2</v>
      </c>
      <c r="J92" s="85"/>
      <c r="K92" s="102" t="s">
        <v>49</v>
      </c>
    </row>
    <row r="93" spans="1:11" ht="13" thickBot="1">
      <c r="A93" s="78"/>
      <c r="B93" s="13"/>
      <c r="C93" s="22"/>
      <c r="D93" s="23"/>
      <c r="E93" s="23"/>
      <c r="F93" s="27"/>
      <c r="G93" s="23"/>
      <c r="H93" s="10"/>
      <c r="I93" s="24"/>
      <c r="J93" s="86"/>
    </row>
    <row r="94" spans="1:11">
      <c r="A94" s="103">
        <v>19</v>
      </c>
      <c r="B94" s="81">
        <f>B92+7</f>
        <v>43387</v>
      </c>
      <c r="C94" s="20">
        <f>D92+G92-H92</f>
        <v>3652.8527835219438</v>
      </c>
      <c r="D94" s="17">
        <f>C94+(C94*0.03)</f>
        <v>3762.438367027602</v>
      </c>
      <c r="E94" s="17">
        <f>C94/3250</f>
        <v>1.1239547026221366</v>
      </c>
      <c r="F94" s="28">
        <f>(D94-C94)/E94</f>
        <v>97.499999999999872</v>
      </c>
      <c r="G94" s="17"/>
      <c r="H94" s="18"/>
      <c r="I94" s="19">
        <f>E94*50/C94</f>
        <v>1.5384615384615385E-2</v>
      </c>
      <c r="J94" s="85"/>
    </row>
    <row r="95" spans="1:11">
      <c r="A95" s="104"/>
      <c r="B95" s="81">
        <f>B94+7</f>
        <v>43394</v>
      </c>
      <c r="C95" s="20">
        <f>D94+G94-H94</f>
        <v>3762.438367027602</v>
      </c>
      <c r="D95" s="17">
        <f>C95+(C95*0.03)</f>
        <v>3875.3115180384302</v>
      </c>
      <c r="E95" s="17">
        <f>C95/3250</f>
        <v>1.1576733437008007</v>
      </c>
      <c r="F95" s="28">
        <f>(D95-C95)/E95</f>
        <v>97.500000000000142</v>
      </c>
      <c r="G95" s="17"/>
      <c r="H95" s="18"/>
      <c r="I95" s="19">
        <f>E95*50/C95</f>
        <v>1.5384615384615385E-2</v>
      </c>
      <c r="J95" s="85"/>
    </row>
    <row r="96" spans="1:11">
      <c r="A96" s="104"/>
      <c r="B96" s="81">
        <f>B95+7</f>
        <v>43401</v>
      </c>
      <c r="C96" s="20">
        <f>D95+G95-H95</f>
        <v>3875.3115180384302</v>
      </c>
      <c r="D96" s="17">
        <f>C96+(C96*0.03)</f>
        <v>3991.5708635795831</v>
      </c>
      <c r="E96" s="17">
        <f>C96/3250</f>
        <v>1.1924035440118246</v>
      </c>
      <c r="F96" s="28">
        <f>(D96-C96)/E96</f>
        <v>97.500000000000028</v>
      </c>
      <c r="G96" s="17"/>
      <c r="H96" s="18"/>
      <c r="I96" s="19">
        <f>E96*50/C96</f>
        <v>1.5384615384615384E-2</v>
      </c>
      <c r="J96" s="85"/>
    </row>
    <row r="97" spans="1:11" ht="13" thickBot="1">
      <c r="A97" s="105"/>
      <c r="B97" s="81">
        <f>B96+7</f>
        <v>43408</v>
      </c>
      <c r="C97" s="20">
        <f>D96+G96-H96</f>
        <v>3991.5708635795831</v>
      </c>
      <c r="D97" s="17">
        <f>C97+(C97*0.03)</f>
        <v>4111.3179894869709</v>
      </c>
      <c r="E97" s="17">
        <f>C97/3250</f>
        <v>1.2281756503321795</v>
      </c>
      <c r="F97" s="28">
        <f>(D97-C97)/E97</f>
        <v>97.500000000000185</v>
      </c>
      <c r="G97" s="18"/>
      <c r="H97" s="80"/>
      <c r="I97" s="19">
        <f>E97*50/C97</f>
        <v>1.5384615384615385E-2</v>
      </c>
      <c r="J97" s="85"/>
    </row>
    <row r="98" spans="1:11" ht="13" thickBot="1">
      <c r="A98" s="78"/>
      <c r="B98" s="13"/>
      <c r="C98" s="22"/>
      <c r="D98" s="23"/>
      <c r="E98" s="23"/>
      <c r="F98" s="27"/>
      <c r="G98" s="23"/>
      <c r="H98" s="10"/>
      <c r="I98" s="24"/>
      <c r="J98" s="86"/>
    </row>
    <row r="99" spans="1:11">
      <c r="A99" s="103">
        <v>20</v>
      </c>
      <c r="B99" s="81">
        <f>B97+7</f>
        <v>43415</v>
      </c>
      <c r="C99" s="20">
        <f>D97+G97-H97</f>
        <v>4111.3179894869709</v>
      </c>
      <c r="D99" s="17">
        <f>C99+(C99*0.03)</f>
        <v>4234.6575291715799</v>
      </c>
      <c r="E99" s="17">
        <f>C99/3250</f>
        <v>1.2650209198421449</v>
      </c>
      <c r="F99" s="28">
        <f>(D99-C99)/E99</f>
        <v>97.499999999999901</v>
      </c>
      <c r="G99" s="18"/>
      <c r="H99" s="18"/>
      <c r="I99" s="19">
        <f>E99*50/C99</f>
        <v>1.5384615384615384E-2</v>
      </c>
      <c r="J99" s="85"/>
    </row>
    <row r="100" spans="1:11">
      <c r="A100" s="104"/>
      <c r="B100" s="81">
        <f>B99+7</f>
        <v>43422</v>
      </c>
      <c r="C100" s="20">
        <f>D99+G99-H99</f>
        <v>4234.6575291715799</v>
      </c>
      <c r="D100" s="17">
        <f>C100+(C100*0.03)</f>
        <v>4361.6972550467272</v>
      </c>
      <c r="E100" s="17">
        <f>C100/3250</f>
        <v>1.3029715474374093</v>
      </c>
      <c r="F100" s="28">
        <f>(D100-C100)/E100</f>
        <v>97.499999999999901</v>
      </c>
      <c r="G100" s="18"/>
      <c r="H100" s="18"/>
      <c r="I100" s="19">
        <f>E100*50/C100</f>
        <v>1.5384615384615384E-2</v>
      </c>
      <c r="J100" s="85"/>
    </row>
    <row r="101" spans="1:11">
      <c r="A101" s="104"/>
      <c r="B101" s="81">
        <f>B100+7</f>
        <v>43429</v>
      </c>
      <c r="C101" s="20">
        <f>D100+G100-H100</f>
        <v>4361.6972550467272</v>
      </c>
      <c r="D101" s="17">
        <f>C101+(C101*0.03)</f>
        <v>4492.5481726981288</v>
      </c>
      <c r="E101" s="17">
        <f>C101/3250</f>
        <v>1.3420606938605315</v>
      </c>
      <c r="F101" s="28">
        <f>(D101-C101)/E101</f>
        <v>97.499999999999901</v>
      </c>
      <c r="G101" s="18"/>
      <c r="H101" s="18"/>
      <c r="I101" s="19">
        <f>E101*50/C101</f>
        <v>1.5384615384615385E-2</v>
      </c>
      <c r="J101" s="85"/>
    </row>
    <row r="102" spans="1:11" ht="13" thickBot="1">
      <c r="A102" s="105"/>
      <c r="B102" s="81">
        <f>B101+7</f>
        <v>43436</v>
      </c>
      <c r="C102" s="20">
        <f>D101+G101-H101</f>
        <v>4492.5481726981288</v>
      </c>
      <c r="D102" s="17">
        <f>C102+(C102*0.03)</f>
        <v>4627.3246178790723</v>
      </c>
      <c r="E102" s="17">
        <f>C102/3250</f>
        <v>1.3823225146763474</v>
      </c>
      <c r="F102" s="28">
        <f>(D102-C102)/E102</f>
        <v>97.499999999999716</v>
      </c>
      <c r="G102" s="18"/>
      <c r="H102" s="80"/>
      <c r="I102" s="19">
        <f>E102*50/C102</f>
        <v>1.5384615384615385E-2</v>
      </c>
      <c r="J102" s="85"/>
    </row>
    <row r="103" spans="1:11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6"/>
    </row>
    <row r="104" spans="1:11">
      <c r="A104" s="103">
        <v>21</v>
      </c>
      <c r="B104" s="81">
        <f>B102+7</f>
        <v>43443</v>
      </c>
      <c r="C104" s="20">
        <f>D102+G102-H102</f>
        <v>4627.3246178790723</v>
      </c>
      <c r="D104" s="17">
        <f>C104+(C104*0.03)</f>
        <v>4766.1443564154442</v>
      </c>
      <c r="E104" s="17">
        <f>C104/3250</f>
        <v>1.4237921901166377</v>
      </c>
      <c r="F104" s="28">
        <f>(D104-C104)/E104</f>
        <v>97.499999999999815</v>
      </c>
      <c r="G104" s="18"/>
      <c r="H104" s="18"/>
      <c r="I104" s="19">
        <f>E104*50/C104</f>
        <v>1.5384615384615385E-2</v>
      </c>
      <c r="J104" s="85"/>
    </row>
    <row r="105" spans="1:11">
      <c r="A105" s="104"/>
      <c r="B105" s="81">
        <f>B104+7</f>
        <v>43450</v>
      </c>
      <c r="C105" s="20">
        <f>D104+G104-H104</f>
        <v>4766.1443564154442</v>
      </c>
      <c r="D105" s="17">
        <f>C105+(C105*0.03)</f>
        <v>4909.1286871079074</v>
      </c>
      <c r="E105" s="17">
        <f>C105/3250</f>
        <v>1.4665059558201368</v>
      </c>
      <c r="F105" s="28">
        <f>(D105-C105)/E105</f>
        <v>97.499999999999858</v>
      </c>
      <c r="G105" s="18"/>
      <c r="H105" s="18"/>
      <c r="I105" s="19">
        <f>E105*50/C105</f>
        <v>1.5384615384615384E-2</v>
      </c>
      <c r="J105" s="85"/>
    </row>
    <row r="106" spans="1:11">
      <c r="A106" s="104"/>
      <c r="B106" s="81">
        <f>B105+7</f>
        <v>43457</v>
      </c>
      <c r="C106" s="20">
        <f>D105+G105-H105</f>
        <v>4909.1286871079074</v>
      </c>
      <c r="D106" s="17">
        <f>C106+(C106*0.03)</f>
        <v>5056.4025477211444</v>
      </c>
      <c r="E106" s="17">
        <f>C106/3250</f>
        <v>1.5105011344947408</v>
      </c>
      <c r="F106" s="28">
        <f>(D106-C106)/E106</f>
        <v>97.499999999999886</v>
      </c>
      <c r="G106" s="18"/>
      <c r="H106" s="18"/>
      <c r="I106" s="19">
        <f>E106*50/C106</f>
        <v>1.5384615384615385E-2</v>
      </c>
      <c r="J106" s="85"/>
    </row>
    <row r="107" spans="1:11" ht="13.5" thickBot="1">
      <c r="A107" s="105"/>
      <c r="B107" s="81">
        <f>B106+7</f>
        <v>43464</v>
      </c>
      <c r="C107" s="20">
        <f>D106+G106-H106</f>
        <v>5056.4025477211444</v>
      </c>
      <c r="D107" s="17">
        <f>C107+(C107*0.03)</f>
        <v>5208.094624152779</v>
      </c>
      <c r="E107" s="17">
        <f>C107/3250</f>
        <v>1.5558161685295828</v>
      </c>
      <c r="F107" s="28">
        <f>(D107-C107)/E107</f>
        <v>97.500000000000199</v>
      </c>
      <c r="G107" s="18"/>
      <c r="H107" s="80">
        <f>(D107-C94)*0.35</f>
        <v>544.33464422079226</v>
      </c>
      <c r="I107" s="19">
        <f>E107*50/C107</f>
        <v>1.5384615384615385E-2</v>
      </c>
      <c r="J107" s="85"/>
      <c r="K107" s="102" t="s">
        <v>49</v>
      </c>
    </row>
    <row r="108" spans="1:11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6"/>
    </row>
    <row r="109" spans="1:11">
      <c r="A109" s="103">
        <v>22</v>
      </c>
      <c r="B109" s="81">
        <f>B107+7</f>
        <v>43471</v>
      </c>
      <c r="C109" s="20">
        <f>D107+G107-H107</f>
        <v>4663.7599799319869</v>
      </c>
      <c r="D109" s="17">
        <f>C109+(C109*0.03)</f>
        <v>4803.6727793299469</v>
      </c>
      <c r="E109" s="17">
        <f>C109/3250</f>
        <v>1.4350030707483037</v>
      </c>
      <c r="F109" s="28">
        <f>(D109-C109)/E109</f>
        <v>97.500000000000298</v>
      </c>
      <c r="G109" s="18"/>
      <c r="H109" s="18"/>
      <c r="I109" s="19">
        <f>E109*50/C109</f>
        <v>1.5384615384615385E-2</v>
      </c>
      <c r="J109" s="85"/>
    </row>
    <row r="110" spans="1:11">
      <c r="A110" s="104"/>
      <c r="B110" s="81">
        <f>B109+7</f>
        <v>43478</v>
      </c>
      <c r="C110" s="20">
        <f>D109+G109-H109</f>
        <v>4803.6727793299469</v>
      </c>
      <c r="D110" s="17">
        <f>C110+(C110*0.03)</f>
        <v>4947.7829627098454</v>
      </c>
      <c r="E110" s="17">
        <f>C110/3250</f>
        <v>1.4780531628707529</v>
      </c>
      <c r="F110" s="28">
        <f>(D110-C110)/E110</f>
        <v>97.500000000000028</v>
      </c>
      <c r="G110" s="18"/>
      <c r="H110" s="18"/>
      <c r="I110" s="19">
        <f>E110*50/C110</f>
        <v>1.5384615384615385E-2</v>
      </c>
      <c r="J110" s="85"/>
    </row>
    <row r="111" spans="1:11">
      <c r="A111" s="104"/>
      <c r="B111" s="81">
        <f>B110+7</f>
        <v>43485</v>
      </c>
      <c r="C111" s="20">
        <f>D110+G110-H110</f>
        <v>4947.7829627098454</v>
      </c>
      <c r="D111" s="17">
        <f>C111+(C111*0.03)</f>
        <v>5096.2164515911409</v>
      </c>
      <c r="E111" s="17">
        <f>C111/3250</f>
        <v>1.5223947577568755</v>
      </c>
      <c r="F111" s="28">
        <f>(D111-C111)/E111</f>
        <v>97.500000000000085</v>
      </c>
      <c r="G111" s="18"/>
      <c r="H111" s="18"/>
      <c r="I111" s="19">
        <f>E111*50/C111</f>
        <v>1.5384615384615384E-2</v>
      </c>
      <c r="J111" s="85"/>
    </row>
    <row r="112" spans="1:11" ht="13" thickBot="1">
      <c r="A112" s="105"/>
      <c r="B112" s="81">
        <f>B111+7</f>
        <v>43492</v>
      </c>
      <c r="C112" s="20">
        <f>D111+G111-H111</f>
        <v>5096.2164515911409</v>
      </c>
      <c r="D112" s="17">
        <f>C112+(C112*0.03)</f>
        <v>5249.1029451388749</v>
      </c>
      <c r="E112" s="17">
        <f>C112/3250</f>
        <v>1.5680666004895818</v>
      </c>
      <c r="F112" s="28">
        <f>(D112-C112)/E112</f>
        <v>97.499999999999901</v>
      </c>
      <c r="G112" s="18"/>
      <c r="H112" s="80"/>
      <c r="I112" s="19">
        <f>E112*50/C112</f>
        <v>1.5384615384615384E-2</v>
      </c>
      <c r="J112" s="85"/>
    </row>
    <row r="113" spans="1:11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6"/>
    </row>
    <row r="114" spans="1:11">
      <c r="A114" s="103">
        <v>23</v>
      </c>
      <c r="B114" s="81">
        <f>B112+7</f>
        <v>43499</v>
      </c>
      <c r="C114" s="20">
        <f>D112+G112-H112</f>
        <v>5249.1029451388749</v>
      </c>
      <c r="D114" s="17">
        <f>C114+(C114*0.03)</f>
        <v>5406.576033493041</v>
      </c>
      <c r="E114" s="17">
        <f>C114/3250</f>
        <v>1.6151085985042692</v>
      </c>
      <c r="F114" s="28">
        <f>(D114-C114)/E114</f>
        <v>97.499999999999886</v>
      </c>
      <c r="G114" s="18"/>
      <c r="H114" s="18"/>
      <c r="I114" s="19">
        <f>E114*50/C114</f>
        <v>1.5384615384615385E-2</v>
      </c>
      <c r="J114" s="85"/>
    </row>
    <row r="115" spans="1:11">
      <c r="A115" s="104"/>
      <c r="B115" s="81">
        <f>B114+7</f>
        <v>43506</v>
      </c>
      <c r="C115" s="20">
        <f>D114+G114-H114</f>
        <v>5406.576033493041</v>
      </c>
      <c r="D115" s="17">
        <f>C115+(C115*0.03)</f>
        <v>5568.773314497832</v>
      </c>
      <c r="E115" s="17">
        <f>C115/3250</f>
        <v>1.6635618564593972</v>
      </c>
      <c r="F115" s="28">
        <f>(D115-C115)/E115</f>
        <v>97.499999999999844</v>
      </c>
      <c r="G115" s="18"/>
      <c r="H115" s="18"/>
      <c r="I115" s="19">
        <f>E115*50/C115</f>
        <v>1.5384615384615384E-2</v>
      </c>
      <c r="J115" s="85"/>
    </row>
    <row r="116" spans="1:11">
      <c r="A116" s="104"/>
      <c r="B116" s="81">
        <f>B115+7</f>
        <v>43513</v>
      </c>
      <c r="C116" s="20">
        <f>D115+G115-H115</f>
        <v>5568.773314497832</v>
      </c>
      <c r="D116" s="17">
        <f>C116+(C116*0.03)</f>
        <v>5735.836513932767</v>
      </c>
      <c r="E116" s="17">
        <f>C116/3250</f>
        <v>1.7134687121531791</v>
      </c>
      <c r="F116" s="28">
        <f>(D116-C116)/E116</f>
        <v>97.500000000000071</v>
      </c>
      <c r="G116" s="18"/>
      <c r="H116" s="18"/>
      <c r="I116" s="19">
        <f>E116*50/C116</f>
        <v>1.5384615384615385E-2</v>
      </c>
      <c r="J116" s="85"/>
    </row>
    <row r="117" spans="1:11" ht="13" thickBot="1">
      <c r="A117" s="105"/>
      <c r="B117" s="81">
        <f>B116+7</f>
        <v>43520</v>
      </c>
      <c r="C117" s="20">
        <f>D116+G116-H116</f>
        <v>5735.836513932767</v>
      </c>
      <c r="D117" s="17">
        <f>C117+(C117*0.03)</f>
        <v>5907.91160935075</v>
      </c>
      <c r="E117" s="17">
        <f>C117/3250</f>
        <v>1.7648727735177745</v>
      </c>
      <c r="F117" s="28">
        <f>(D117-C117)/E117</f>
        <v>97.499999999999986</v>
      </c>
      <c r="G117" s="18"/>
      <c r="H117" s="80"/>
      <c r="I117" s="19">
        <f>E117*50/C117</f>
        <v>1.5384615384615384E-2</v>
      </c>
      <c r="J117" s="85"/>
    </row>
    <row r="118" spans="1:11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6"/>
    </row>
    <row r="119" spans="1:11">
      <c r="A119" s="103">
        <v>24</v>
      </c>
      <c r="B119" s="81">
        <f>B117+7</f>
        <v>43527</v>
      </c>
      <c r="C119" s="20">
        <f>D117+G117-H117</f>
        <v>5907.91160935075</v>
      </c>
      <c r="D119" s="17">
        <f>C119+(C119*0.03)</f>
        <v>6085.1489576312724</v>
      </c>
      <c r="E119" s="17">
        <f>C119/3250</f>
        <v>1.8178189567233076</v>
      </c>
      <c r="F119" s="28">
        <f>(D119-C119)/E119</f>
        <v>97.499999999999943</v>
      </c>
      <c r="G119" s="18"/>
      <c r="H119" s="18"/>
      <c r="I119" s="19">
        <f>E119*50/C119</f>
        <v>1.5384615384615384E-2</v>
      </c>
      <c r="J119" s="85"/>
    </row>
    <row r="120" spans="1:11">
      <c r="A120" s="104"/>
      <c r="B120" s="81">
        <f>B119+7</f>
        <v>43534</v>
      </c>
      <c r="C120" s="20">
        <f>D119+G119-H119</f>
        <v>6085.1489576312724</v>
      </c>
      <c r="D120" s="17">
        <f>C120+(C120*0.03)</f>
        <v>6267.7034263602109</v>
      </c>
      <c r="E120" s="17">
        <f>C120/3250</f>
        <v>1.872353525425007</v>
      </c>
      <c r="F120" s="28">
        <f>(D120-C120)/E120</f>
        <v>97.500000000000142</v>
      </c>
      <c r="G120" s="18"/>
      <c r="H120" s="18"/>
      <c r="I120" s="19">
        <f>E120*50/C120</f>
        <v>1.5384615384615385E-2</v>
      </c>
      <c r="J120" s="85"/>
    </row>
    <row r="121" spans="1:11">
      <c r="A121" s="104"/>
      <c r="B121" s="81">
        <f>B120+7</f>
        <v>43541</v>
      </c>
      <c r="C121" s="20">
        <f>D120+G120-H120</f>
        <v>6267.7034263602109</v>
      </c>
      <c r="D121" s="17">
        <f>C121+(C121*0.03)</f>
        <v>6455.7345291510173</v>
      </c>
      <c r="E121" s="17">
        <f>C121/3250</f>
        <v>1.9285241311877572</v>
      </c>
      <c r="F121" s="28">
        <f>(D121-C121)/E121</f>
        <v>97.500000000000071</v>
      </c>
      <c r="G121" s="18"/>
      <c r="H121" s="18"/>
      <c r="I121" s="19">
        <f>E121*50/C121</f>
        <v>1.5384615384615385E-2</v>
      </c>
      <c r="J121" s="85"/>
    </row>
    <row r="122" spans="1:11" ht="13.5" thickBot="1">
      <c r="A122" s="105"/>
      <c r="B122" s="81">
        <f>B121+7</f>
        <v>43548</v>
      </c>
      <c r="C122" s="20">
        <f>D121+G121-H121</f>
        <v>6455.7345291510173</v>
      </c>
      <c r="D122" s="17">
        <f>C122+(C122*0.03)</f>
        <v>6649.4065650255479</v>
      </c>
      <c r="E122" s="17">
        <f>C122/3250</f>
        <v>1.98637985512339</v>
      </c>
      <c r="F122" s="28">
        <f>(D122-C122)/E122</f>
        <v>97.500000000000028</v>
      </c>
      <c r="G122" s="18"/>
      <c r="H122" s="80">
        <f>(D122-C109)*0.35</f>
        <v>694.9763047827463</v>
      </c>
      <c r="I122" s="19">
        <f>E122*50/C122</f>
        <v>1.5384615384615384E-2</v>
      </c>
      <c r="J122" s="85"/>
      <c r="K122" s="102" t="s">
        <v>49</v>
      </c>
    </row>
    <row r="123" spans="1:11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6"/>
    </row>
    <row r="124" spans="1:11">
      <c r="A124" s="103">
        <v>25</v>
      </c>
      <c r="B124" s="81">
        <f>B122+7</f>
        <v>43555</v>
      </c>
      <c r="C124" s="20">
        <f>D122+G122-H122</f>
        <v>5954.4302602428015</v>
      </c>
      <c r="D124" s="17">
        <f>C124+(C124*0.03)</f>
        <v>6133.0631680500856</v>
      </c>
      <c r="E124" s="17">
        <f>C124/3250</f>
        <v>1.8321323877670159</v>
      </c>
      <c r="F124" s="28">
        <f>(D124-C124)/E124</f>
        <v>97.499999999999986</v>
      </c>
      <c r="G124" s="17"/>
      <c r="H124" s="18"/>
      <c r="I124" s="19">
        <f>E124*50/C124</f>
        <v>1.5384615384615385E-2</v>
      </c>
      <c r="J124" s="85"/>
    </row>
    <row r="125" spans="1:11">
      <c r="A125" s="104"/>
      <c r="B125" s="81">
        <f>B124+7</f>
        <v>43562</v>
      </c>
      <c r="C125" s="20">
        <f>D124+G124-H124</f>
        <v>6133.0631680500856</v>
      </c>
      <c r="D125" s="17">
        <f>C125+(C125*0.03)</f>
        <v>6317.0550630915877</v>
      </c>
      <c r="E125" s="17">
        <f>C125/3250</f>
        <v>1.8870963594000263</v>
      </c>
      <c r="F125" s="28">
        <f>(D125-C125)/E125</f>
        <v>97.499999999999801</v>
      </c>
      <c r="G125" s="17"/>
      <c r="H125" s="18"/>
      <c r="I125" s="19">
        <f>E125*50/C125</f>
        <v>1.5384615384615385E-2</v>
      </c>
      <c r="J125" s="85"/>
    </row>
    <row r="126" spans="1:11">
      <c r="A126" s="104"/>
      <c r="B126" s="81">
        <f>B125+7</f>
        <v>43569</v>
      </c>
      <c r="C126" s="20">
        <f>D125+G125-H125</f>
        <v>6317.0550630915877</v>
      </c>
      <c r="D126" s="17">
        <f>C126+(C126*0.03)</f>
        <v>6506.5667149843357</v>
      </c>
      <c r="E126" s="17">
        <f>C126/3250</f>
        <v>1.943709250182027</v>
      </c>
      <c r="F126" s="28">
        <f>(D126-C126)/E126</f>
        <v>97.500000000000171</v>
      </c>
      <c r="G126" s="17"/>
      <c r="H126" s="18"/>
      <c r="I126" s="19">
        <f>E126*50/C126</f>
        <v>1.5384615384615385E-2</v>
      </c>
      <c r="J126" s="85"/>
    </row>
    <row r="127" spans="1:11" ht="13" thickBot="1">
      <c r="A127" s="105"/>
      <c r="B127" s="81">
        <f>B126+7</f>
        <v>43576</v>
      </c>
      <c r="C127" s="20">
        <f>D126+G126-H126</f>
        <v>6506.5667149843357</v>
      </c>
      <c r="D127" s="17">
        <f>C127+(C127*0.03)</f>
        <v>6701.7637164338657</v>
      </c>
      <c r="E127" s="17">
        <f>C127/3250</f>
        <v>2.0020205276874878</v>
      </c>
      <c r="F127" s="28">
        <f>(D127-C127)/E127</f>
        <v>97.499999999999986</v>
      </c>
      <c r="G127" s="18"/>
      <c r="H127" s="80"/>
      <c r="I127" s="19">
        <f>E127*50/C127</f>
        <v>1.5384615384615384E-2</v>
      </c>
      <c r="J127" s="85"/>
    </row>
    <row r="128" spans="1:11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6"/>
    </row>
    <row r="129" spans="1:11">
      <c r="A129" s="103">
        <v>26</v>
      </c>
      <c r="B129" s="81">
        <f>B127+7</f>
        <v>43583</v>
      </c>
      <c r="C129" s="20">
        <f>D127+G127-H127</f>
        <v>6701.7637164338657</v>
      </c>
      <c r="D129" s="17">
        <f>C129+(C129*0.03)</f>
        <v>6902.8166279268817</v>
      </c>
      <c r="E129" s="17">
        <f>C129/3250</f>
        <v>2.0620811435181126</v>
      </c>
      <c r="F129" s="28">
        <f>(D129-C129)/E129</f>
        <v>97.499999999999972</v>
      </c>
      <c r="G129" s="18"/>
      <c r="H129" s="18"/>
      <c r="I129" s="19">
        <f>E129*50/C129</f>
        <v>1.5384615384615384E-2</v>
      </c>
      <c r="J129" s="85"/>
    </row>
    <row r="130" spans="1:11">
      <c r="A130" s="104"/>
      <c r="B130" s="81">
        <f>B129+7</f>
        <v>43590</v>
      </c>
      <c r="C130" s="20">
        <f>D129+G129-H129</f>
        <v>6902.8166279268817</v>
      </c>
      <c r="D130" s="17">
        <f>C130+(C130*0.03)</f>
        <v>7109.9011267646883</v>
      </c>
      <c r="E130" s="17">
        <f>C130/3250</f>
        <v>2.1239435778236557</v>
      </c>
      <c r="F130" s="28">
        <f>(D130-C130)/E130</f>
        <v>97.500000000000114</v>
      </c>
      <c r="G130" s="18"/>
      <c r="H130" s="18"/>
      <c r="I130" s="19">
        <f>E130*50/C130</f>
        <v>1.5384615384615384E-2</v>
      </c>
      <c r="J130" s="85"/>
    </row>
    <row r="131" spans="1:11">
      <c r="A131" s="104"/>
      <c r="B131" s="81">
        <f>B130+7</f>
        <v>43597</v>
      </c>
      <c r="C131" s="20">
        <f>D130+G130-H130</f>
        <v>7109.9011267646883</v>
      </c>
      <c r="D131" s="17">
        <f>C131+(C131*0.03)</f>
        <v>7323.1981605676292</v>
      </c>
      <c r="E131" s="17">
        <f>C131/3250</f>
        <v>2.1876618851583656</v>
      </c>
      <c r="F131" s="28">
        <f>(D131-C131)/E131</f>
        <v>97.500000000000099</v>
      </c>
      <c r="G131" s="18"/>
      <c r="H131" s="18"/>
      <c r="I131" s="19">
        <f>E131*50/C131</f>
        <v>1.5384615384615384E-2</v>
      </c>
      <c r="J131" s="85"/>
    </row>
    <row r="132" spans="1:11" ht="13" thickBot="1">
      <c r="A132" s="105"/>
      <c r="B132" s="81">
        <f>B131+7</f>
        <v>43604</v>
      </c>
      <c r="C132" s="20">
        <f>D131+G131-H131</f>
        <v>7323.1981605676292</v>
      </c>
      <c r="D132" s="17">
        <f>C132+(C132*0.03)</f>
        <v>7542.8941053846584</v>
      </c>
      <c r="E132" s="17">
        <f>C132/3250</f>
        <v>2.2532917417131166</v>
      </c>
      <c r="F132" s="28">
        <f>(D132-C132)/E132</f>
        <v>97.500000000000128</v>
      </c>
      <c r="G132" s="18"/>
      <c r="H132" s="80"/>
      <c r="I132" s="19">
        <f>E132*50/C132</f>
        <v>1.5384615384615384E-2</v>
      </c>
      <c r="J132" s="85"/>
    </row>
    <row r="133" spans="1:11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6"/>
    </row>
    <row r="134" spans="1:11">
      <c r="A134" s="103">
        <v>27</v>
      </c>
      <c r="B134" s="81">
        <f>B132+7</f>
        <v>43611</v>
      </c>
      <c r="C134" s="20">
        <f>D132+G132-H132</f>
        <v>7542.8941053846584</v>
      </c>
      <c r="D134" s="17">
        <f>C134+(C134*0.03)</f>
        <v>7769.1809285461977</v>
      </c>
      <c r="E134" s="17">
        <f>C134/3250</f>
        <v>2.3208904939645101</v>
      </c>
      <c r="F134" s="28">
        <f>(D134-C134)/E134</f>
        <v>97.499999999999844</v>
      </c>
      <c r="G134" s="18"/>
      <c r="H134" s="18"/>
      <c r="I134" s="19">
        <f>E134*50/C134</f>
        <v>1.5384615384615384E-2</v>
      </c>
      <c r="J134" s="85"/>
    </row>
    <row r="135" spans="1:11">
      <c r="A135" s="104"/>
      <c r="B135" s="81">
        <f>B134+7</f>
        <v>43618</v>
      </c>
      <c r="C135" s="20">
        <f>D134+G134-H134</f>
        <v>7769.1809285461977</v>
      </c>
      <c r="D135" s="17">
        <f>C135+(C135*0.03)</f>
        <v>8002.2563564025841</v>
      </c>
      <c r="E135" s="17">
        <f>C135/3250</f>
        <v>2.3905172087834456</v>
      </c>
      <c r="F135" s="28">
        <f>(D135-C135)/E135</f>
        <v>97.500000000000156</v>
      </c>
      <c r="G135" s="18"/>
      <c r="H135" s="18"/>
      <c r="I135" s="19">
        <f>E135*50/C135</f>
        <v>1.5384615384615385E-2</v>
      </c>
      <c r="J135" s="85"/>
    </row>
    <row r="136" spans="1:11">
      <c r="A136" s="104"/>
      <c r="B136" s="81">
        <f>B135+7</f>
        <v>43625</v>
      </c>
      <c r="C136" s="20">
        <f>D135+G135-H135</f>
        <v>8002.2563564025841</v>
      </c>
      <c r="D136" s="17">
        <f>C136+(C136*0.03)</f>
        <v>8242.3240470946621</v>
      </c>
      <c r="E136" s="17">
        <f>C136/3250</f>
        <v>2.4622327250469489</v>
      </c>
      <c r="F136" s="28">
        <f>(D136-C136)/E136</f>
        <v>97.500000000000213</v>
      </c>
      <c r="G136" s="18"/>
      <c r="H136" s="18"/>
      <c r="I136" s="19">
        <f>E136*50/C136</f>
        <v>1.5384615384615384E-2</v>
      </c>
      <c r="J136" s="85"/>
    </row>
    <row r="137" spans="1:11" ht="13.5" thickBot="1">
      <c r="A137" s="105"/>
      <c r="B137" s="81">
        <f>B136+7</f>
        <v>43632</v>
      </c>
      <c r="C137" s="20">
        <f>D136+G136-H136</f>
        <v>8242.3240470946621</v>
      </c>
      <c r="D137" s="17">
        <f>C137+(C137*0.03)</f>
        <v>8489.5937685075023</v>
      </c>
      <c r="E137" s="17">
        <f>C137/3250</f>
        <v>2.5360997067983577</v>
      </c>
      <c r="F137" s="28">
        <f>(D137-C137)/E137</f>
        <v>97.500000000000142</v>
      </c>
      <c r="G137" s="18"/>
      <c r="H137" s="80">
        <f>(D137-C124)*0.35</f>
        <v>887.30722789264519</v>
      </c>
      <c r="I137" s="19">
        <f>E137*50/C137</f>
        <v>1.5384615384615385E-2</v>
      </c>
      <c r="J137" s="85"/>
      <c r="K137" s="102" t="s">
        <v>49</v>
      </c>
    </row>
    <row r="138" spans="1:11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89"/>
    </row>
    <row r="139" spans="1:11">
      <c r="A139" s="103">
        <v>28</v>
      </c>
      <c r="B139" s="81">
        <f>B137+7</f>
        <v>43639</v>
      </c>
      <c r="C139" s="20">
        <f>D137+G137-H137</f>
        <v>7602.2865406148576</v>
      </c>
      <c r="D139" s="17">
        <f>C139+(C139*0.03)</f>
        <v>7830.3551368333037</v>
      </c>
      <c r="E139" s="17">
        <f>C139/3250</f>
        <v>2.3391650894199563</v>
      </c>
      <c r="F139" s="28">
        <f>(D139-C139)/E139</f>
        <v>97.500000000000171</v>
      </c>
      <c r="G139" s="18"/>
      <c r="H139" s="18"/>
      <c r="I139" s="19">
        <f>E139*50/C139</f>
        <v>1.5384615384615385E-2</v>
      </c>
      <c r="J139" s="85"/>
    </row>
    <row r="140" spans="1:11">
      <c r="A140" s="104"/>
      <c r="B140" s="81">
        <f>B139+7</f>
        <v>43646</v>
      </c>
      <c r="C140" s="20">
        <f>D139+G139-H139</f>
        <v>7830.3551368333037</v>
      </c>
      <c r="D140" s="17">
        <f>C140+(C140*0.03)</f>
        <v>8065.2657909383024</v>
      </c>
      <c r="E140" s="17">
        <f>C140/3250</f>
        <v>2.409340042102555</v>
      </c>
      <c r="F140" s="28">
        <f>(D140-C140)/E140</f>
        <v>97.499999999999815</v>
      </c>
      <c r="G140" s="18"/>
      <c r="H140" s="18"/>
      <c r="I140" s="19">
        <f>E140*50/C140</f>
        <v>1.5384615384615384E-2</v>
      </c>
      <c r="J140" s="85"/>
    </row>
    <row r="141" spans="1:11">
      <c r="A141" s="104"/>
      <c r="B141" s="81">
        <f>B140+7</f>
        <v>43653</v>
      </c>
      <c r="C141" s="20">
        <f>D140+G140-H140</f>
        <v>8065.2657909383024</v>
      </c>
      <c r="D141" s="17">
        <f>C141+(C141*0.03)</f>
        <v>8307.2237646664507</v>
      </c>
      <c r="E141" s="17">
        <f>C141/3250</f>
        <v>2.4816202433656316</v>
      </c>
      <c r="F141" s="28">
        <f>(D141-C141)/E141</f>
        <v>97.499999999999687</v>
      </c>
      <c r="G141" s="18"/>
      <c r="H141" s="18"/>
      <c r="I141" s="19">
        <f>E141*50/C141</f>
        <v>1.5384615384615384E-2</v>
      </c>
      <c r="J141" s="85"/>
    </row>
    <row r="142" spans="1:11" ht="13" thickBot="1">
      <c r="A142" s="105"/>
      <c r="B142" s="81">
        <f>B141+7</f>
        <v>43660</v>
      </c>
      <c r="C142" s="20">
        <f>D141+G141-H141</f>
        <v>8307.2237646664507</v>
      </c>
      <c r="D142" s="17">
        <f>C142+(C142*0.03)</f>
        <v>8556.4404776064439</v>
      </c>
      <c r="E142" s="17">
        <f>C142/3250</f>
        <v>2.5560688506666001</v>
      </c>
      <c r="F142" s="28">
        <f>(D142-C142)/E142</f>
        <v>97.499999999999858</v>
      </c>
      <c r="G142" s="18"/>
      <c r="H142" s="80"/>
      <c r="I142" s="19">
        <f>E142*50/C142</f>
        <v>1.5384615384615384E-2</v>
      </c>
      <c r="J142" s="85"/>
    </row>
    <row r="143" spans="1:11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6"/>
    </row>
    <row r="144" spans="1:11">
      <c r="A144" s="103">
        <v>29</v>
      </c>
      <c r="B144" s="81">
        <f>B142+7</f>
        <v>43667</v>
      </c>
      <c r="C144" s="20">
        <f>D142+G142-H142</f>
        <v>8556.4404776064439</v>
      </c>
      <c r="D144" s="17">
        <f>C144+(C144*0.03)</f>
        <v>8813.1336919346377</v>
      </c>
      <c r="E144" s="17">
        <f>C144/3250</f>
        <v>2.6327509161865983</v>
      </c>
      <c r="F144" s="28">
        <f>(D144-C144)/E144</f>
        <v>97.500000000000171</v>
      </c>
      <c r="G144" s="18"/>
      <c r="H144" s="18"/>
      <c r="I144" s="19">
        <f>E144*50/C144</f>
        <v>1.5384615384615385E-2</v>
      </c>
      <c r="J144" s="85"/>
    </row>
    <row r="145" spans="1:11">
      <c r="A145" s="104"/>
      <c r="B145" s="81">
        <f>B144+7</f>
        <v>43674</v>
      </c>
      <c r="C145" s="20">
        <f>D144+G144-H144</f>
        <v>8813.1336919346377</v>
      </c>
      <c r="D145" s="17">
        <f>C145+(C145*0.03)</f>
        <v>9077.527702692676</v>
      </c>
      <c r="E145" s="17">
        <f>C145/3250</f>
        <v>2.711733443672196</v>
      </c>
      <c r="F145" s="28">
        <f>(D145-C145)/E145</f>
        <v>97.499999999999716</v>
      </c>
      <c r="G145" s="18"/>
      <c r="H145" s="18"/>
      <c r="I145" s="19">
        <f>E145*50/C145</f>
        <v>1.5384615384615384E-2</v>
      </c>
      <c r="J145" s="85"/>
    </row>
    <row r="146" spans="1:11">
      <c r="A146" s="104"/>
      <c r="B146" s="81">
        <f>B145+7</f>
        <v>43681</v>
      </c>
      <c r="C146" s="20">
        <f>D145+G145-H145</f>
        <v>9077.527702692676</v>
      </c>
      <c r="D146" s="17">
        <f>C146+(C146*0.03)</f>
        <v>9349.8535337734556</v>
      </c>
      <c r="E146" s="17">
        <f>C146/3250</f>
        <v>2.7930854469823618</v>
      </c>
      <c r="F146" s="28">
        <f>(D146-C146)/E146</f>
        <v>97.499999999999758</v>
      </c>
      <c r="G146" s="18"/>
      <c r="H146" s="18"/>
      <c r="I146" s="19">
        <f>E146*50/C146</f>
        <v>1.5384615384615384E-2</v>
      </c>
      <c r="J146" s="85"/>
    </row>
    <row r="147" spans="1:11" ht="13" thickBot="1">
      <c r="A147" s="105"/>
      <c r="B147" s="81">
        <f>B146+7</f>
        <v>43688</v>
      </c>
      <c r="C147" s="20">
        <f>D146+G146-H146</f>
        <v>9349.8535337734556</v>
      </c>
      <c r="D147" s="17">
        <f>C147+(C147*0.03)</f>
        <v>9630.3491397866601</v>
      </c>
      <c r="E147" s="17">
        <f>C147/3250</f>
        <v>2.8768780103918323</v>
      </c>
      <c r="F147" s="28">
        <f>(D147-C147)/E147</f>
        <v>97.500000000000284</v>
      </c>
      <c r="G147" s="18"/>
      <c r="H147" s="80"/>
      <c r="I147" s="19">
        <f>E147*50/C147</f>
        <v>1.5384615384615384E-2</v>
      </c>
      <c r="J147" s="85"/>
    </row>
    <row r="148" spans="1:11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6"/>
    </row>
    <row r="149" spans="1:11">
      <c r="A149" s="103">
        <v>30</v>
      </c>
      <c r="B149" s="81">
        <f>B147+7</f>
        <v>43695</v>
      </c>
      <c r="C149" s="20">
        <f>D147+G147-H147</f>
        <v>9630.3491397866601</v>
      </c>
      <c r="D149" s="17">
        <f>C149+(C149*0.03)</f>
        <v>9919.259613980259</v>
      </c>
      <c r="E149" s="17">
        <f>C149/3250</f>
        <v>2.9631843507035875</v>
      </c>
      <c r="F149" s="28">
        <f>(D149-C149)/E149</f>
        <v>97.499999999999716</v>
      </c>
      <c r="G149" s="18"/>
      <c r="H149" s="18"/>
      <c r="I149" s="19">
        <f>E149*50/C149</f>
        <v>1.5384615384615384E-2</v>
      </c>
      <c r="J149" s="85"/>
    </row>
    <row r="150" spans="1:11">
      <c r="A150" s="104"/>
      <c r="B150" s="81">
        <f>B149+7</f>
        <v>43702</v>
      </c>
      <c r="C150" s="20">
        <f>D149+G149-H149</f>
        <v>9919.259613980259</v>
      </c>
      <c r="D150" s="17">
        <f>C150+(C150*0.03)</f>
        <v>10216.837402399668</v>
      </c>
      <c r="E150" s="17">
        <f>C150/3250</f>
        <v>3.052079881224695</v>
      </c>
      <c r="F150" s="28">
        <f>(D150-C150)/E150</f>
        <v>97.500000000000256</v>
      </c>
      <c r="G150" s="18"/>
      <c r="H150" s="18"/>
      <c r="I150" s="19">
        <f>E150*50/C150</f>
        <v>1.5384615384615384E-2</v>
      </c>
      <c r="J150" s="85"/>
    </row>
    <row r="151" spans="1:11">
      <c r="A151" s="104"/>
      <c r="B151" s="81">
        <f>B150+7</f>
        <v>43709</v>
      </c>
      <c r="C151" s="20">
        <f>D150+G150-H150</f>
        <v>10216.837402399668</v>
      </c>
      <c r="D151" s="17">
        <f>C151+(C151*0.03)</f>
        <v>10523.342524471658</v>
      </c>
      <c r="E151" s="17">
        <f>C151/3250</f>
        <v>3.1436422776614363</v>
      </c>
      <c r="F151" s="28">
        <f>(D151-C151)/E151</f>
        <v>97.500000000000185</v>
      </c>
      <c r="G151" s="18"/>
      <c r="H151" s="18"/>
      <c r="I151" s="19">
        <f>E151*50/C151</f>
        <v>1.5384615384615385E-2</v>
      </c>
      <c r="J151" s="85"/>
    </row>
    <row r="152" spans="1:11" ht="13.5" thickBot="1">
      <c r="A152" s="105"/>
      <c r="B152" s="81">
        <f>B151+7</f>
        <v>43716</v>
      </c>
      <c r="C152" s="20">
        <f>D151+G151-H151</f>
        <v>10523.342524471658</v>
      </c>
      <c r="D152" s="17">
        <f>C152+(C152*0.03)</f>
        <v>10839.042800205807</v>
      </c>
      <c r="E152" s="17">
        <f>C152/3250</f>
        <v>3.2379515459912795</v>
      </c>
      <c r="F152" s="28">
        <f>(D152-C152)/E152</f>
        <v>97.499999999999716</v>
      </c>
      <c r="G152" s="18"/>
      <c r="H152" s="80">
        <f>(D152-C139)*0.35</f>
        <v>1132.8646908568321</v>
      </c>
      <c r="I152" s="19">
        <f>E152*50/C152</f>
        <v>1.5384615384615385E-2</v>
      </c>
      <c r="J152" s="85"/>
      <c r="K152" s="102" t="s">
        <v>49</v>
      </c>
    </row>
    <row r="153" spans="1:11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6"/>
    </row>
    <row r="154" spans="1:11">
      <c r="A154" s="103">
        <v>31</v>
      </c>
      <c r="B154" s="81">
        <f>B152+7</f>
        <v>43723</v>
      </c>
      <c r="C154" s="20">
        <f>D152+G152-H152</f>
        <v>9706.1781093489753</v>
      </c>
      <c r="D154" s="17">
        <f>C154+(C154*0.03)</f>
        <v>9997.3634526294445</v>
      </c>
      <c r="E154" s="17">
        <f>C154/3250</f>
        <v>2.9865163413381461</v>
      </c>
      <c r="F154" s="28">
        <f>(D154-C154)/E154</f>
        <v>97.499999999999972</v>
      </c>
      <c r="G154" s="17"/>
      <c r="H154" s="79"/>
      <c r="I154" s="19">
        <f>E154*50/C154</f>
        <v>1.5384615384615385E-2</v>
      </c>
      <c r="J154" s="85"/>
    </row>
    <row r="155" spans="1:11">
      <c r="A155" s="104"/>
      <c r="B155" s="81">
        <f>B154+7</f>
        <v>43730</v>
      </c>
      <c r="C155" s="20">
        <f>D154+G154-H154</f>
        <v>9997.3634526294445</v>
      </c>
      <c r="D155" s="17">
        <f>C155+(C155*0.03)</f>
        <v>10297.284356208327</v>
      </c>
      <c r="E155" s="17">
        <f>C155/3250</f>
        <v>3.0761118315782907</v>
      </c>
      <c r="F155" s="28">
        <f>(D155-C155)/E155</f>
        <v>97.499999999999773</v>
      </c>
      <c r="G155" s="17"/>
      <c r="H155" s="79"/>
      <c r="I155" s="19">
        <f>E155*50/C155</f>
        <v>1.5384615384615385E-2</v>
      </c>
      <c r="J155" s="85"/>
    </row>
    <row r="156" spans="1:11">
      <c r="A156" s="104"/>
      <c r="B156" s="81">
        <f>B155+7</f>
        <v>43737</v>
      </c>
      <c r="C156" s="20">
        <f>D155+G155-H155</f>
        <v>10297.284356208327</v>
      </c>
      <c r="D156" s="17">
        <f>C156+(C156*0.03)</f>
        <v>10606.202886894576</v>
      </c>
      <c r="E156" s="17">
        <f>C156/3250</f>
        <v>3.1683951865256392</v>
      </c>
      <c r="F156" s="28">
        <f>(D156-C156)/E156</f>
        <v>97.499999999999787</v>
      </c>
      <c r="G156" s="17"/>
      <c r="H156" s="79"/>
      <c r="I156" s="19">
        <f>E156*50/C156</f>
        <v>1.5384615384615385E-2</v>
      </c>
      <c r="J156" s="85"/>
    </row>
    <row r="157" spans="1:11" ht="13" thickBot="1">
      <c r="A157" s="105"/>
      <c r="B157" s="81">
        <f>B156+7</f>
        <v>43744</v>
      </c>
      <c r="C157" s="20">
        <f>D156+G156-H156</f>
        <v>10606.202886894576</v>
      </c>
      <c r="D157" s="17">
        <f>C157+(C157*0.03)</f>
        <v>10924.388973501413</v>
      </c>
      <c r="E157" s="17">
        <f>C157/3250</f>
        <v>3.2634470421214079</v>
      </c>
      <c r="F157" s="28">
        <f>(D157-C157)/E157</f>
        <v>97.49999999999973</v>
      </c>
      <c r="G157" s="18"/>
      <c r="H157" s="80"/>
      <c r="I157" s="19">
        <f>E157*50/C157</f>
        <v>1.5384615384615385E-2</v>
      </c>
      <c r="J157" s="85"/>
    </row>
    <row r="158" spans="1:11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6"/>
    </row>
    <row r="159" spans="1:11">
      <c r="A159" s="103">
        <v>32</v>
      </c>
      <c r="B159" s="81">
        <f>B157+7</f>
        <v>43751</v>
      </c>
      <c r="C159" s="20">
        <f>D157+G157-H157</f>
        <v>10924.388973501413</v>
      </c>
      <c r="D159" s="17">
        <f>C159+(C159*0.03)</f>
        <v>11252.120642706455</v>
      </c>
      <c r="E159" s="17">
        <f>C159/3250</f>
        <v>3.3613504533850502</v>
      </c>
      <c r="F159" s="28">
        <f>(D159-C159)/E159</f>
        <v>97.500000000000071</v>
      </c>
      <c r="G159" s="18"/>
      <c r="H159" s="18"/>
      <c r="I159" s="19">
        <f>E159*50/C159</f>
        <v>1.5384615384615387E-2</v>
      </c>
      <c r="J159" s="85"/>
    </row>
    <row r="160" spans="1:11">
      <c r="A160" s="104"/>
      <c r="B160" s="81">
        <f>B159+7</f>
        <v>43758</v>
      </c>
      <c r="C160" s="20">
        <f>D159+G159-H159</f>
        <v>11252.120642706455</v>
      </c>
      <c r="D160" s="17">
        <f>C160+(C160*0.03)</f>
        <v>11589.68426198765</v>
      </c>
      <c r="E160" s="17">
        <f>C160/3250</f>
        <v>3.4621909669866016</v>
      </c>
      <c r="F160" s="28">
        <f>(D160-C160)/E160</f>
        <v>97.500000000000213</v>
      </c>
      <c r="G160" s="18"/>
      <c r="H160" s="18"/>
      <c r="I160" s="19">
        <f>E160*50/C160</f>
        <v>1.5384615384615385E-2</v>
      </c>
      <c r="J160" s="85"/>
    </row>
    <row r="161" spans="1:11">
      <c r="A161" s="104"/>
      <c r="B161" s="81">
        <f>B160+7</f>
        <v>43765</v>
      </c>
      <c r="C161" s="20">
        <f>D160+G160-H160</f>
        <v>11589.68426198765</v>
      </c>
      <c r="D161" s="17">
        <f>C161+(C161*0.03)</f>
        <v>11937.374789847279</v>
      </c>
      <c r="E161" s="17">
        <f>C161/3250</f>
        <v>3.5660566959961999</v>
      </c>
      <c r="F161" s="28">
        <f>(D161-C161)/E161</f>
        <v>97.500000000000028</v>
      </c>
      <c r="G161" s="18"/>
      <c r="H161" s="18"/>
      <c r="I161" s="19">
        <f>E161*50/C161</f>
        <v>1.5384615384615385E-2</v>
      </c>
      <c r="J161" s="85"/>
    </row>
    <row r="162" spans="1:11" ht="13" thickBot="1">
      <c r="A162" s="105"/>
      <c r="B162" s="81">
        <f>B161+7</f>
        <v>43772</v>
      </c>
      <c r="C162" s="20">
        <f>D161+G161-H161</f>
        <v>11937.374789847279</v>
      </c>
      <c r="D162" s="17">
        <f>C162+(C162*0.03)</f>
        <v>12295.496033542699</v>
      </c>
      <c r="E162" s="17">
        <f>C162/3250</f>
        <v>3.6730383968760858</v>
      </c>
      <c r="F162" s="28">
        <f>(D162-C162)/E162</f>
        <v>97.500000000000242</v>
      </c>
      <c r="G162" s="18"/>
      <c r="H162" s="80"/>
      <c r="I162" s="19">
        <f>E162*50/C162</f>
        <v>1.5384615384615384E-2</v>
      </c>
      <c r="J162" s="85"/>
    </row>
    <row r="163" spans="1:11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6"/>
    </row>
    <row r="164" spans="1:11">
      <c r="A164" s="103">
        <v>33</v>
      </c>
      <c r="B164" s="81">
        <f>B162+7</f>
        <v>43779</v>
      </c>
      <c r="C164" s="20">
        <f>D162+G162-H162</f>
        <v>12295.496033542699</v>
      </c>
      <c r="D164" s="17">
        <f>C164+(C164*0.03)</f>
        <v>12664.360914548979</v>
      </c>
      <c r="E164" s="17">
        <f>C164/3250</f>
        <v>3.7832295487823688</v>
      </c>
      <c r="F164" s="28">
        <f>(D164-C164)/E164</f>
        <v>97.499999999999872</v>
      </c>
      <c r="G164" s="18"/>
      <c r="H164" s="18"/>
      <c r="I164" s="19">
        <f>E164*50/C164</f>
        <v>1.5384615384615385E-2</v>
      </c>
      <c r="J164" s="85"/>
    </row>
    <row r="165" spans="1:11">
      <c r="A165" s="104"/>
      <c r="B165" s="81">
        <f>B164+7</f>
        <v>43786</v>
      </c>
      <c r="C165" s="20">
        <f>D164+G164-H164</f>
        <v>12664.360914548979</v>
      </c>
      <c r="D165" s="17">
        <f>C165+(C165*0.03)</f>
        <v>13044.291741985449</v>
      </c>
      <c r="E165" s="17">
        <f>C165/3250</f>
        <v>3.8967264352458395</v>
      </c>
      <c r="F165" s="28">
        <f>(D165-C165)/E165</f>
        <v>97.500000000000242</v>
      </c>
      <c r="G165" s="18"/>
      <c r="H165" s="18"/>
      <c r="I165" s="19">
        <f>E165*50/C165</f>
        <v>1.5384615384615385E-2</v>
      </c>
      <c r="J165" s="85"/>
    </row>
    <row r="166" spans="1:11">
      <c r="A166" s="104"/>
      <c r="B166" s="81">
        <f>B165+7</f>
        <v>43793</v>
      </c>
      <c r="C166" s="20">
        <f>D165+G165-H165</f>
        <v>13044.291741985449</v>
      </c>
      <c r="D166" s="17">
        <f>C166+(C166*0.03)</f>
        <v>13435.620494245013</v>
      </c>
      <c r="E166" s="17">
        <f>C166/3250</f>
        <v>4.0136282283032152</v>
      </c>
      <c r="F166" s="28">
        <f>(D166-C166)/E166</f>
        <v>97.500000000000071</v>
      </c>
      <c r="G166" s="18"/>
      <c r="H166" s="18"/>
      <c r="I166" s="19">
        <f>E166*50/C166</f>
        <v>1.5384615384615385E-2</v>
      </c>
      <c r="J166" s="85"/>
    </row>
    <row r="167" spans="1:11" ht="13.5" thickBot="1">
      <c r="A167" s="105"/>
      <c r="B167" s="81">
        <f>B166+7</f>
        <v>43800</v>
      </c>
      <c r="C167" s="20">
        <f>D166+G166-H166</f>
        <v>13435.620494245013</v>
      </c>
      <c r="D167" s="17">
        <f>C167+(C167*0.03)</f>
        <v>13838.689109072364</v>
      </c>
      <c r="E167" s="17">
        <f>C167/3250</f>
        <v>4.1340370751523121</v>
      </c>
      <c r="F167" s="28">
        <f>(D167-C167)/E167</f>
        <v>97.500000000000085</v>
      </c>
      <c r="G167" s="18"/>
      <c r="H167" s="80">
        <f>(D167-C154)*0.35</f>
        <v>1446.3788499031859</v>
      </c>
      <c r="I167" s="19">
        <f>E167*50/C167</f>
        <v>1.5384615384615385E-2</v>
      </c>
      <c r="J167" s="85"/>
      <c r="K167" s="102" t="s">
        <v>49</v>
      </c>
    </row>
    <row r="168" spans="1:11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6"/>
    </row>
    <row r="169" spans="1:11">
      <c r="A169" s="103">
        <v>34</v>
      </c>
      <c r="B169" s="81">
        <f>B167+7</f>
        <v>43807</v>
      </c>
      <c r="C169" s="20">
        <f>D167+G167-H167</f>
        <v>12392.310259169179</v>
      </c>
      <c r="D169" s="17">
        <f>C169+(C169*0.03)</f>
        <v>12764.079566944254</v>
      </c>
      <c r="E169" s="17">
        <f>C169/3250</f>
        <v>3.8130185412828244</v>
      </c>
      <c r="F169" s="28">
        <f>(D169-C169)/E169</f>
        <v>97.500000000000028</v>
      </c>
      <c r="G169" s="18"/>
      <c r="H169" s="18"/>
      <c r="I169" s="19">
        <f>E169*50/C169</f>
        <v>1.5384615384615385E-2</v>
      </c>
      <c r="J169" s="85"/>
    </row>
    <row r="170" spans="1:11">
      <c r="A170" s="104"/>
      <c r="B170" s="81">
        <f>B169+7</f>
        <v>43814</v>
      </c>
      <c r="C170" s="20">
        <f>D169+G169-H169</f>
        <v>12764.079566944254</v>
      </c>
      <c r="D170" s="17">
        <f>C170+(C170*0.03)</f>
        <v>13147.001953952582</v>
      </c>
      <c r="E170" s="17">
        <f>C170/3250</f>
        <v>3.9274090975213092</v>
      </c>
      <c r="F170" s="28">
        <f>(D170-C170)/E170</f>
        <v>97.500000000000057</v>
      </c>
      <c r="G170" s="18"/>
      <c r="H170" s="18"/>
      <c r="I170" s="19">
        <f>E170*50/C170</f>
        <v>1.5384615384615385E-2</v>
      </c>
      <c r="J170" s="85"/>
    </row>
    <row r="171" spans="1:11">
      <c r="A171" s="104"/>
      <c r="B171" s="81">
        <f>B170+7</f>
        <v>43821</v>
      </c>
      <c r="C171" s="20">
        <f>D170+G170-H170</f>
        <v>13147.001953952582</v>
      </c>
      <c r="D171" s="17">
        <f>C171+(C171*0.03)</f>
        <v>13541.41201257116</v>
      </c>
      <c r="E171" s="17">
        <f>C171/3250</f>
        <v>4.045231370446948</v>
      </c>
      <c r="F171" s="28">
        <f>(D171-C171)/E171</f>
        <v>97.500000000000085</v>
      </c>
      <c r="G171" s="18"/>
      <c r="H171" s="18"/>
      <c r="I171" s="19">
        <f>E171*50/C171</f>
        <v>1.5384615384615384E-2</v>
      </c>
      <c r="J171" s="85"/>
    </row>
    <row r="172" spans="1:11" ht="13" thickBot="1">
      <c r="A172" s="105"/>
      <c r="B172" s="81">
        <f>B171+7</f>
        <v>43828</v>
      </c>
      <c r="C172" s="20">
        <f>D171+G171-H171</f>
        <v>13541.41201257116</v>
      </c>
      <c r="D172" s="17">
        <f>C172+(C172*0.03)</f>
        <v>13947.654372948295</v>
      </c>
      <c r="E172" s="17">
        <f>C172/3250</f>
        <v>4.166588311560357</v>
      </c>
      <c r="F172" s="28">
        <f>(D172-C172)/E172</f>
        <v>97.500000000000028</v>
      </c>
      <c r="G172" s="18"/>
      <c r="H172" s="80"/>
      <c r="I172" s="19">
        <f>E172*50/C172</f>
        <v>1.5384615384615385E-2</v>
      </c>
      <c r="J172" s="85"/>
    </row>
    <row r="173" spans="1:11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6"/>
    </row>
    <row r="174" spans="1:11">
      <c r="A174" s="103">
        <v>35</v>
      </c>
      <c r="B174" s="81">
        <f>B172+7</f>
        <v>43835</v>
      </c>
      <c r="C174" s="20">
        <f>D172+G172-H172</f>
        <v>13947.654372948295</v>
      </c>
      <c r="D174" s="17">
        <f>C174+(C174*0.03)</f>
        <v>14366.084004136743</v>
      </c>
      <c r="E174" s="17">
        <f>C174/3250</f>
        <v>4.2915859609071676</v>
      </c>
      <c r="F174" s="28">
        <f>(D174-C174)/E174</f>
        <v>97.499999999999844</v>
      </c>
      <c r="G174" s="18"/>
      <c r="H174" s="18"/>
      <c r="I174" s="19">
        <f>E174*50/C174</f>
        <v>1.5384615384615384E-2</v>
      </c>
      <c r="J174" s="85"/>
    </row>
    <row r="175" spans="1:11">
      <c r="A175" s="104"/>
      <c r="B175" s="81">
        <f>B174+7</f>
        <v>43842</v>
      </c>
      <c r="C175" s="20">
        <f>D174+G174-H174</f>
        <v>14366.084004136743</v>
      </c>
      <c r="D175" s="17">
        <f>C175+(C175*0.03)</f>
        <v>14797.066524260845</v>
      </c>
      <c r="E175" s="17">
        <f>C175/3250</f>
        <v>4.4203335397343828</v>
      </c>
      <c r="F175" s="28">
        <f>(D175-C175)/E175</f>
        <v>97.499999999999915</v>
      </c>
      <c r="G175" s="18"/>
      <c r="H175" s="18"/>
      <c r="I175" s="19">
        <f>E175*50/C175</f>
        <v>1.5384615384615387E-2</v>
      </c>
      <c r="J175" s="85"/>
    </row>
    <row r="176" spans="1:11">
      <c r="A176" s="104"/>
      <c r="B176" s="81">
        <f>B175+7</f>
        <v>43849</v>
      </c>
      <c r="C176" s="20">
        <f>D175+G175-H175</f>
        <v>14797.066524260845</v>
      </c>
      <c r="D176" s="17">
        <f>C176+(C176*0.03)</f>
        <v>15240.97851998867</v>
      </c>
      <c r="E176" s="17">
        <f>C176/3250</f>
        <v>4.5529435459264134</v>
      </c>
      <c r="F176" s="28">
        <f>(D176-C176)/E176</f>
        <v>97.500000000000014</v>
      </c>
      <c r="G176" s="18"/>
      <c r="H176" s="18"/>
      <c r="I176" s="19">
        <f>E176*50/C176</f>
        <v>1.5384615384615384E-2</v>
      </c>
      <c r="J176" s="85"/>
    </row>
    <row r="177" spans="1:11" ht="13.5" thickBot="1">
      <c r="A177" s="105"/>
      <c r="B177" s="81">
        <f>B176+7</f>
        <v>43856</v>
      </c>
      <c r="C177" s="20">
        <f>D176+G176-H176</f>
        <v>15240.97851998867</v>
      </c>
      <c r="D177" s="17">
        <f>C177+(C177*0.03)</f>
        <v>15698.20787558833</v>
      </c>
      <c r="E177" s="17">
        <f>C177/3250</f>
        <v>4.6895318523042064</v>
      </c>
      <c r="F177" s="28">
        <f>(D177-C177)/E177</f>
        <v>97.500000000000028</v>
      </c>
      <c r="G177" s="18"/>
      <c r="H177" s="80">
        <f>(D177-C169)*0.35</f>
        <v>1157.0641657467031</v>
      </c>
      <c r="I177" s="19">
        <f>E177*50/C177</f>
        <v>1.5384615384615387E-2</v>
      </c>
      <c r="J177" s="85"/>
      <c r="K177" s="102" t="s">
        <v>49</v>
      </c>
    </row>
    <row r="178" spans="1:11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6"/>
    </row>
  </sheetData>
  <mergeCells count="36">
    <mergeCell ref="A169:A172"/>
    <mergeCell ref="A174:A177"/>
    <mergeCell ref="A154:A157"/>
    <mergeCell ref="A159:A162"/>
    <mergeCell ref="A164:A167"/>
    <mergeCell ref="A139:A142"/>
    <mergeCell ref="A144:A147"/>
    <mergeCell ref="A149:A152"/>
    <mergeCell ref="A124:A127"/>
    <mergeCell ref="A129:A132"/>
    <mergeCell ref="A134:A137"/>
    <mergeCell ref="A109:A112"/>
    <mergeCell ref="A114:A117"/>
    <mergeCell ref="A119:A122"/>
    <mergeCell ref="A94:A97"/>
    <mergeCell ref="A99:A102"/>
    <mergeCell ref="A104:A107"/>
    <mergeCell ref="A79:A82"/>
    <mergeCell ref="A84:A87"/>
    <mergeCell ref="A89:A92"/>
    <mergeCell ref="A64:A67"/>
    <mergeCell ref="A69:A72"/>
    <mergeCell ref="A74:A77"/>
    <mergeCell ref="A49:A52"/>
    <mergeCell ref="A54:A57"/>
    <mergeCell ref="A59:A62"/>
    <mergeCell ref="A34:A37"/>
    <mergeCell ref="A39:A42"/>
    <mergeCell ref="A44:A47"/>
    <mergeCell ref="A19:A22"/>
    <mergeCell ref="A24:A27"/>
    <mergeCell ref="A29:A32"/>
    <mergeCell ref="A14:A17"/>
    <mergeCell ref="B1:I1"/>
    <mergeCell ref="A4:A7"/>
    <mergeCell ref="A9:A12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K178"/>
  <sheetViews>
    <sheetView topLeftCell="A32" workbookViewId="0">
      <selection activeCell="C47" sqref="C47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1" width="61.6328125" style="75" bestFit="1" customWidth="1"/>
    <col min="12" max="16384" width="9.1796875" style="75"/>
  </cols>
  <sheetData>
    <row r="1" spans="1:10" ht="13.5" thickBot="1">
      <c r="B1" s="106"/>
      <c r="C1" s="107"/>
      <c r="D1" s="107"/>
      <c r="E1" s="107"/>
      <c r="F1" s="107"/>
      <c r="G1" s="107"/>
      <c r="H1" s="107"/>
      <c r="I1" s="107"/>
      <c r="J1" s="88"/>
    </row>
    <row r="2" spans="1:10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0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0">
      <c r="A4" s="103">
        <v>1</v>
      </c>
      <c r="B4" s="81">
        <v>42883</v>
      </c>
      <c r="C4" s="20">
        <v>2000</v>
      </c>
      <c r="D4" s="17">
        <f>C4+(C4*0.035)</f>
        <v>2070</v>
      </c>
      <c r="E4" s="17">
        <f>C4/3250</f>
        <v>0.61538461538461542</v>
      </c>
      <c r="F4" s="34">
        <f>(D4-C4)/E4</f>
        <v>113.75</v>
      </c>
      <c r="G4" s="18"/>
      <c r="H4" s="18"/>
      <c r="I4" s="19">
        <f>E4*50/C4</f>
        <v>1.5384615384615385E-2</v>
      </c>
      <c r="J4" s="87">
        <f>(D4-C4)/C4</f>
        <v>3.5000000000000003E-2</v>
      </c>
    </row>
    <row r="5" spans="1:10">
      <c r="A5" s="104"/>
      <c r="B5" s="81">
        <f>B4+7</f>
        <v>42890</v>
      </c>
      <c r="C5" s="20">
        <f>D4+G4-H4</f>
        <v>2070</v>
      </c>
      <c r="D5" s="21">
        <f>C5+(C5*0.1312)</f>
        <v>2341.5839999999998</v>
      </c>
      <c r="E5" s="17">
        <f>C5/3250</f>
        <v>0.63692307692307693</v>
      </c>
      <c r="F5" s="101">
        <f>(D5-C5)/E5</f>
        <v>426.39999999999975</v>
      </c>
      <c r="G5" s="18"/>
      <c r="H5" s="18"/>
      <c r="I5" s="19">
        <f>E5*50/C5</f>
        <v>1.5384615384615385E-2</v>
      </c>
      <c r="J5" s="87">
        <f>(D5-C4)/C4</f>
        <v>0.17079199999999992</v>
      </c>
    </row>
    <row r="6" spans="1:10">
      <c r="A6" s="104"/>
      <c r="B6" s="81">
        <f>B5+7</f>
        <v>42897</v>
      </c>
      <c r="C6" s="20">
        <f>D5+G5-H5</f>
        <v>2341.5839999999998</v>
      </c>
      <c r="D6" s="17">
        <f>C6+(C6*0.014)</f>
        <v>2374.366176</v>
      </c>
      <c r="E6" s="17">
        <f>C6/3250</f>
        <v>0.72048738461538453</v>
      </c>
      <c r="F6" s="34">
        <f>(D6-C6)/E6</f>
        <v>45.500000000000234</v>
      </c>
      <c r="G6" s="18"/>
      <c r="H6" s="18"/>
      <c r="I6" s="19">
        <f>E6*50/C6</f>
        <v>1.5384615384615384E-2</v>
      </c>
      <c r="J6" s="87">
        <f>(D6-$C4)/$C4</f>
        <v>0.187183088</v>
      </c>
    </row>
    <row r="7" spans="1:10" ht="13" thickBot="1">
      <c r="A7" s="105"/>
      <c r="B7" s="81">
        <f>B6+7</f>
        <v>42904</v>
      </c>
      <c r="C7" s="20">
        <f>D6+G6-H6</f>
        <v>2374.366176</v>
      </c>
      <c r="D7" s="17">
        <f>C7+(C7*0)</f>
        <v>2374.366176</v>
      </c>
      <c r="E7" s="17">
        <f>C7/3250</f>
        <v>0.73057420799999995</v>
      </c>
      <c r="F7" s="34">
        <f>(D7-C7)/E7</f>
        <v>0</v>
      </c>
      <c r="G7" s="18"/>
      <c r="H7" s="18"/>
      <c r="I7" s="19">
        <f>E7*50/C7</f>
        <v>1.5384615384615382E-2</v>
      </c>
      <c r="J7" s="87">
        <f>(D7-$C4)/$C4</f>
        <v>0.187183088</v>
      </c>
    </row>
    <row r="8" spans="1:10" ht="13" thickBot="1">
      <c r="A8" s="78"/>
      <c r="B8" s="13"/>
      <c r="C8" s="22"/>
      <c r="D8" s="23"/>
      <c r="E8" s="23"/>
      <c r="F8" s="27"/>
      <c r="G8" s="23"/>
      <c r="H8" s="10"/>
      <c r="I8" s="24"/>
      <c r="J8" s="91"/>
    </row>
    <row r="9" spans="1:10">
      <c r="A9" s="103">
        <v>2</v>
      </c>
      <c r="B9" s="81">
        <f>B7+7</f>
        <v>42911</v>
      </c>
      <c r="C9" s="20">
        <f>D7+G7-H7</f>
        <v>2374.366176</v>
      </c>
      <c r="D9" s="17">
        <f>C9+(C9*0.015)</f>
        <v>2409.98166864</v>
      </c>
      <c r="E9" s="17">
        <f>C9/3250</f>
        <v>0.73057420799999995</v>
      </c>
      <c r="F9" s="34">
        <f>(D9-C9)/E9</f>
        <v>48.749999999999943</v>
      </c>
      <c r="G9" s="18"/>
      <c r="H9" s="18"/>
      <c r="I9" s="19">
        <f>E9*50/C9</f>
        <v>1.5384615384615382E-2</v>
      </c>
      <c r="J9" s="87">
        <f>(D9-$C4)/$C4</f>
        <v>0.20499083431999998</v>
      </c>
    </row>
    <row r="10" spans="1:10">
      <c r="A10" s="104"/>
      <c r="B10" s="81">
        <f>B9+7</f>
        <v>42918</v>
      </c>
      <c r="C10" s="20">
        <f>D9+G9-H9</f>
        <v>2409.98166864</v>
      </c>
      <c r="D10" s="17">
        <f>C10+(C10*0.054)</f>
        <v>2540.1206787465599</v>
      </c>
      <c r="E10" s="17">
        <f>C10/3250</f>
        <v>0.74153282111999996</v>
      </c>
      <c r="F10" s="34">
        <f>(D10-C10)/E10</f>
        <v>175.49999999999989</v>
      </c>
      <c r="G10" s="18"/>
      <c r="H10" s="18"/>
      <c r="I10" s="19">
        <f>E10*50/C10</f>
        <v>1.5384615384615385E-2</v>
      </c>
      <c r="J10" s="87">
        <f>(D10-$C4)/$C4</f>
        <v>0.27006033937327995</v>
      </c>
    </row>
    <row r="11" spans="1:10">
      <c r="A11" s="104"/>
      <c r="B11" s="81">
        <f>B10+7</f>
        <v>42925</v>
      </c>
      <c r="C11" s="20">
        <f>D10+G10-H10</f>
        <v>2540.1206787465599</v>
      </c>
      <c r="D11" s="17">
        <f>C11+(C11*0.0483)</f>
        <v>2662.8085075300187</v>
      </c>
      <c r="E11" s="17">
        <f>C11/3250</f>
        <v>0.78157559346048</v>
      </c>
      <c r="F11" s="34">
        <f>(D11-C11)/E11</f>
        <v>156.97499999999997</v>
      </c>
      <c r="G11" s="18"/>
      <c r="H11" s="18"/>
      <c r="I11" s="19">
        <f>E11*50/C11</f>
        <v>1.5384615384615385E-2</v>
      </c>
      <c r="J11" s="87">
        <f>(D11-$C4)/$C4</f>
        <v>0.33140425376500937</v>
      </c>
    </row>
    <row r="12" spans="1:10" ht="13" thickBot="1">
      <c r="A12" s="105"/>
      <c r="B12" s="81">
        <f>B11+7</f>
        <v>42932</v>
      </c>
      <c r="C12" s="20">
        <f>D11+G11-H11</f>
        <v>2662.8085075300187</v>
      </c>
      <c r="D12" s="99">
        <f>C12+(C12*-0.074)</f>
        <v>2465.7606779727971</v>
      </c>
      <c r="E12" s="17">
        <f>C12/3250</f>
        <v>0.81932569462462113</v>
      </c>
      <c r="F12" s="95">
        <f>(D12-C12)/E12</f>
        <v>-240.50000000000023</v>
      </c>
      <c r="G12" s="18"/>
      <c r="H12" s="18"/>
      <c r="I12" s="19">
        <f>E12*50/C12</f>
        <v>1.5384615384615384E-2</v>
      </c>
      <c r="J12" s="87">
        <f>(D12-$C4)/$C4</f>
        <v>0.23288033898639857</v>
      </c>
    </row>
    <row r="13" spans="1:10" ht="13" thickBot="1">
      <c r="A13" s="78"/>
      <c r="B13" s="13"/>
      <c r="C13" s="22"/>
      <c r="D13" s="23"/>
      <c r="E13" s="23"/>
      <c r="F13" s="27"/>
      <c r="G13" s="23"/>
      <c r="H13" s="10"/>
      <c r="I13" s="24"/>
      <c r="J13" s="91"/>
    </row>
    <row r="14" spans="1:10">
      <c r="A14" s="103">
        <v>3</v>
      </c>
      <c r="B14" s="81">
        <f>B12+7</f>
        <v>42939</v>
      </c>
      <c r="C14" s="20">
        <f>D12+G12-H12</f>
        <v>2465.7606779727971</v>
      </c>
      <c r="D14" s="17">
        <f>C14+(C14*0.0427)</f>
        <v>2571.0486589222355</v>
      </c>
      <c r="E14" s="17">
        <f>C14/3250</f>
        <v>0.7586955932223991</v>
      </c>
      <c r="F14" s="34">
        <f>(D14-C14)/E14</f>
        <v>138.77499999999995</v>
      </c>
      <c r="G14" s="18"/>
      <c r="H14" s="18"/>
      <c r="I14" s="19">
        <f>E14*50/C14</f>
        <v>1.5384615384615384E-2</v>
      </c>
      <c r="J14" s="87">
        <f>(D14-$C4)/$C4</f>
        <v>0.28552432946111778</v>
      </c>
    </row>
    <row r="15" spans="1:10">
      <c r="A15" s="104"/>
      <c r="B15" s="81">
        <f>B14+7</f>
        <v>42946</v>
      </c>
      <c r="C15" s="20">
        <f>D14+G14-H14</f>
        <v>2571.0486589222355</v>
      </c>
      <c r="D15" s="17">
        <f>C15+(C15*-0.0045)</f>
        <v>2559.4789399570855</v>
      </c>
      <c r="E15" s="17">
        <f>C15/3250</f>
        <v>0.7910918950529956</v>
      </c>
      <c r="F15" s="37">
        <f>(D15-C15)/E15</f>
        <v>-14.624999999999998</v>
      </c>
      <c r="G15" s="18"/>
      <c r="H15" s="18"/>
      <c r="I15" s="19">
        <f>E15*50/C15</f>
        <v>1.5384615384615384E-2</v>
      </c>
      <c r="J15" s="87">
        <f>(D15-$C4)/$C4</f>
        <v>0.27973946997854271</v>
      </c>
    </row>
    <row r="16" spans="1:10">
      <c r="A16" s="104"/>
      <c r="B16" s="81">
        <f>B15+7</f>
        <v>42953</v>
      </c>
      <c r="C16" s="20">
        <f>D15+G15-H15</f>
        <v>2559.4789399570855</v>
      </c>
      <c r="D16" s="17">
        <f>C16+(C16*-0.0326)</f>
        <v>2476.0399265144843</v>
      </c>
      <c r="E16" s="17">
        <f>C16/3250</f>
        <v>0.78753198152525705</v>
      </c>
      <c r="F16" s="37">
        <f>(D16-C16)/E16</f>
        <v>-105.95000000000029</v>
      </c>
      <c r="G16" s="18"/>
      <c r="H16" s="18"/>
      <c r="I16" s="19">
        <f>E16*50/C16</f>
        <v>1.5384615384615384E-2</v>
      </c>
      <c r="J16" s="87">
        <f>(D16-$C4)/$C4</f>
        <v>0.23801996325724212</v>
      </c>
    </row>
    <row r="17" spans="1:11" ht="13.5" thickBot="1">
      <c r="A17" s="105"/>
      <c r="B17" s="81">
        <f>B16+7</f>
        <v>42960</v>
      </c>
      <c r="C17" s="20">
        <f>D16+G16-H16</f>
        <v>2476.0399265144843</v>
      </c>
      <c r="D17" s="17">
        <f>C17+(C17*-0.02)</f>
        <v>2426.5191279841947</v>
      </c>
      <c r="E17" s="17">
        <f>C17/3250</f>
        <v>0.76185843892753358</v>
      </c>
      <c r="F17" s="37">
        <f>(D17-C17)/E17</f>
        <v>-64.999999999999815</v>
      </c>
      <c r="G17" s="18"/>
      <c r="H17" s="80">
        <f>(D17-C4)*0.3</f>
        <v>127.95573839525841</v>
      </c>
      <c r="I17" s="19">
        <f>E17*50/C17</f>
        <v>1.5384615384615384E-2</v>
      </c>
      <c r="J17" s="87">
        <f>(D17-C19)/$C4</f>
        <v>6.3977869197629156E-2</v>
      </c>
      <c r="K17" s="102" t="s">
        <v>48</v>
      </c>
    </row>
    <row r="18" spans="1:11" ht="13" thickBot="1">
      <c r="A18" s="78"/>
      <c r="B18" s="13"/>
      <c r="C18" s="22"/>
      <c r="D18" s="23"/>
      <c r="E18" s="23"/>
      <c r="F18" s="27"/>
      <c r="G18" s="23"/>
      <c r="H18" s="10"/>
      <c r="I18" s="24"/>
      <c r="J18" s="91"/>
    </row>
    <row r="19" spans="1:11">
      <c r="A19" s="103">
        <v>4</v>
      </c>
      <c r="B19" s="81">
        <f>B17+7</f>
        <v>42967</v>
      </c>
      <c r="C19" s="20">
        <f>D17+G17-H17</f>
        <v>2298.5633895889364</v>
      </c>
      <c r="D19" s="17">
        <f>C19+(C19*0.0596)</f>
        <v>2435.5577676084372</v>
      </c>
      <c r="E19" s="17">
        <f>C19/3250</f>
        <v>0.70725027371967275</v>
      </c>
      <c r="F19" s="34">
        <f>(D19-C19)/E19</f>
        <v>193.70000000000027</v>
      </c>
      <c r="G19" s="18"/>
      <c r="H19" s="18"/>
      <c r="I19" s="19">
        <f>E19*50/C19</f>
        <v>1.5384615384615384E-2</v>
      </c>
      <c r="J19" s="87">
        <f>(D19-$C4)/$C4</f>
        <v>0.21777888380421859</v>
      </c>
    </row>
    <row r="20" spans="1:11">
      <c r="A20" s="104"/>
      <c r="B20" s="81">
        <f>B19+7</f>
        <v>42974</v>
      </c>
      <c r="C20" s="20">
        <f>D19+G19-H19</f>
        <v>2435.5577676084372</v>
      </c>
      <c r="D20" s="99">
        <f>C20+(C20*-0.0884)</f>
        <v>2220.2544609518513</v>
      </c>
      <c r="E20" s="17">
        <f>C20/3250</f>
        <v>0.74940239003336528</v>
      </c>
      <c r="F20" s="95">
        <f>(D20-C20)/E20</f>
        <v>-287.3</v>
      </c>
      <c r="G20" s="18"/>
      <c r="H20" s="18"/>
      <c r="I20" s="19">
        <f>E20*50/C20</f>
        <v>1.5384615384615385E-2</v>
      </c>
      <c r="J20" s="87">
        <f>(D20-$C4)/$C4</f>
        <v>0.11012723047592567</v>
      </c>
    </row>
    <row r="21" spans="1:11">
      <c r="A21" s="104"/>
      <c r="B21" s="81">
        <f>B20+7</f>
        <v>42981</v>
      </c>
      <c r="C21" s="20">
        <f>D20+G20-H20</f>
        <v>2220.2544609518513</v>
      </c>
      <c r="D21" s="99">
        <f>C21+(C21*-0.0583)</f>
        <v>2090.8136258783584</v>
      </c>
      <c r="E21" s="17">
        <f>C21/5500</f>
        <v>0.40368262926397297</v>
      </c>
      <c r="F21" s="95">
        <f>(D21-C21)/E21</f>
        <v>-320.65000000000009</v>
      </c>
      <c r="G21" s="18"/>
      <c r="H21" s="18"/>
      <c r="I21" s="19">
        <f>E21*50/C21</f>
        <v>9.0909090909090922E-3</v>
      </c>
      <c r="J21" s="87">
        <f>(D21-$C4)/$C4</f>
        <v>4.5406812939179191E-2</v>
      </c>
    </row>
    <row r="22" spans="1:11" ht="13" thickBot="1">
      <c r="A22" s="105"/>
      <c r="B22" s="81">
        <f>B21+7</f>
        <v>42988</v>
      </c>
      <c r="C22" s="20">
        <f>D21+G21-H21</f>
        <v>2090.8136258783584</v>
      </c>
      <c r="D22" s="21">
        <f>C22+(C22*0.1119)</f>
        <v>2324.7756706141467</v>
      </c>
      <c r="E22" s="17">
        <f>C22/5500</f>
        <v>0.38014793197788332</v>
      </c>
      <c r="F22" s="101">
        <f>(D22-C22)/E22</f>
        <v>615.45000000000016</v>
      </c>
      <c r="G22" s="18"/>
      <c r="H22" s="18"/>
      <c r="I22" s="19">
        <f>E22*50/C22</f>
        <v>9.0909090909090922E-3</v>
      </c>
      <c r="J22" s="87">
        <f>(D22-$C4)/$C4</f>
        <v>0.16238783530707337</v>
      </c>
    </row>
    <row r="23" spans="1:11" ht="13" thickBot="1">
      <c r="A23" s="78"/>
      <c r="B23" s="13"/>
      <c r="C23" s="22"/>
      <c r="D23" s="23"/>
      <c r="E23" s="23"/>
      <c r="F23" s="27"/>
      <c r="G23" s="23"/>
      <c r="H23" s="10"/>
      <c r="I23" s="24"/>
      <c r="J23" s="86"/>
    </row>
    <row r="24" spans="1:11">
      <c r="A24" s="103">
        <v>5</v>
      </c>
      <c r="B24" s="81">
        <f>B22+7</f>
        <v>42995</v>
      </c>
      <c r="C24" s="20">
        <f>D22+G22-H22</f>
        <v>2324.7756706141467</v>
      </c>
      <c r="D24" s="99">
        <f>C24+(C24*-0.073)</f>
        <v>2155.0670466593142</v>
      </c>
      <c r="E24" s="17">
        <f>C24/5500</f>
        <v>0.42268648556620853</v>
      </c>
      <c r="F24" s="95">
        <f>(D24-C24)/E24</f>
        <v>-401.4999999999996</v>
      </c>
      <c r="G24" s="18"/>
      <c r="H24" s="18"/>
      <c r="I24" s="19">
        <f>E24*50/C24</f>
        <v>9.0909090909090922E-3</v>
      </c>
      <c r="J24" s="87">
        <f>(D24-$C4)/$C4</f>
        <v>7.75335233296571E-2</v>
      </c>
    </row>
    <row r="25" spans="1:11">
      <c r="A25" s="104"/>
      <c r="B25" s="81">
        <f>B24+7</f>
        <v>43002</v>
      </c>
      <c r="C25" s="20">
        <f>D24+G24-H24</f>
        <v>2155.0670466593142</v>
      </c>
      <c r="D25" s="17">
        <f>C25+(C25*-0.0103)</f>
        <v>2132.8698560787234</v>
      </c>
      <c r="E25" s="17">
        <f>C25/5500</f>
        <v>0.39183037211987531</v>
      </c>
      <c r="F25" s="37">
        <f>(D25-C25)/E25</f>
        <v>-56.649999999999686</v>
      </c>
      <c r="G25" s="18"/>
      <c r="H25" s="18"/>
      <c r="I25" s="19">
        <f>E25*50/C25</f>
        <v>9.0909090909090905E-3</v>
      </c>
      <c r="J25" s="87">
        <f>(D25-$C4)/$C4</f>
        <v>6.6434928039361699E-2</v>
      </c>
    </row>
    <row r="26" spans="1:11">
      <c r="A26" s="104"/>
      <c r="B26" s="81">
        <f>B25+7</f>
        <v>43009</v>
      </c>
      <c r="C26" s="20">
        <f>D25+G25-H25</f>
        <v>2132.8698560787234</v>
      </c>
      <c r="D26" s="99">
        <f>C26+(C26*-0.0544)</f>
        <v>2016.8417359080408</v>
      </c>
      <c r="E26" s="17">
        <f>C26/5500</f>
        <v>0.38779451928704062</v>
      </c>
      <c r="F26" s="95">
        <f>(D26-C26)/E26</f>
        <v>-299.2</v>
      </c>
      <c r="G26" s="18"/>
      <c r="H26" s="18"/>
      <c r="I26" s="19">
        <f>E26*50/C26</f>
        <v>9.0909090909090905E-3</v>
      </c>
      <c r="J26" s="87">
        <f>(D26-$C4)/$C4</f>
        <v>8.4208679540204237E-3</v>
      </c>
    </row>
    <row r="27" spans="1:11" ht="13" thickBot="1">
      <c r="A27" s="105"/>
      <c r="B27" s="81">
        <f>B26+7</f>
        <v>43016</v>
      </c>
      <c r="C27" s="20">
        <f>D26+G26-H26</f>
        <v>2016.8417359080408</v>
      </c>
      <c r="D27" s="17">
        <f>C27+(C27*-0.0579)</f>
        <v>1900.0665993989653</v>
      </c>
      <c r="E27" s="17">
        <f>C27/3000</f>
        <v>0.67228057863601365</v>
      </c>
      <c r="F27" s="37">
        <f>(D27-C27)/E27</f>
        <v>-173.69999999999996</v>
      </c>
      <c r="G27" s="18"/>
      <c r="H27" s="18"/>
      <c r="I27" s="19">
        <f>E27*50/C27</f>
        <v>1.6666666666666666E-2</v>
      </c>
      <c r="J27" s="90">
        <f>(D27-$C4)/$C4</f>
        <v>-4.9966700300517343E-2</v>
      </c>
    </row>
    <row r="28" spans="1:11" ht="13" thickBot="1">
      <c r="A28" s="78"/>
      <c r="B28" s="13"/>
      <c r="C28" s="22"/>
      <c r="D28" s="23"/>
      <c r="E28" s="23"/>
      <c r="F28" s="27"/>
      <c r="G28" s="23"/>
      <c r="H28" s="10"/>
      <c r="I28" s="24"/>
      <c r="J28" s="86"/>
    </row>
    <row r="29" spans="1:11">
      <c r="A29" s="103">
        <v>6</v>
      </c>
      <c r="B29" s="81">
        <f>B27+7</f>
        <v>43023</v>
      </c>
      <c r="C29" s="20">
        <f>D27+G27-H27</f>
        <v>1900.0665993989653</v>
      </c>
      <c r="D29" s="21">
        <f>C29+(C29*0.0774)</f>
        <v>2047.1317541924452</v>
      </c>
      <c r="E29" s="17">
        <f>C29/3000</f>
        <v>0.63335553313298842</v>
      </c>
      <c r="F29" s="101">
        <f>(D29-C29)/E29</f>
        <v>232.2</v>
      </c>
      <c r="G29" s="18"/>
      <c r="H29" s="18"/>
      <c r="I29" s="19">
        <f>E29*50/C29</f>
        <v>1.6666666666666666E-2</v>
      </c>
      <c r="J29" s="87">
        <f>(D29-$C4)/$C4</f>
        <v>2.3565877096222609E-2</v>
      </c>
    </row>
    <row r="30" spans="1:11">
      <c r="A30" s="104"/>
      <c r="B30" s="81">
        <f>B29+7</f>
        <v>43030</v>
      </c>
      <c r="C30" s="20">
        <f>D29+G29-H29</f>
        <v>2047.1317541924452</v>
      </c>
      <c r="D30" s="21">
        <f>C30+(C30*0.0717)</f>
        <v>2193.9111009680437</v>
      </c>
      <c r="E30" s="17">
        <f>C30/3000</f>
        <v>0.68237725139748173</v>
      </c>
      <c r="F30" s="101">
        <f>(D30-C30)/E30</f>
        <v>215.10000000000022</v>
      </c>
      <c r="G30" s="18"/>
      <c r="H30" s="18"/>
      <c r="I30" s="19">
        <f>E30*50/C30</f>
        <v>1.6666666666666666E-2</v>
      </c>
      <c r="J30" s="87">
        <f>(D30-$C4)/$C4</f>
        <v>9.6955550484021838E-2</v>
      </c>
    </row>
    <row r="31" spans="1:11">
      <c r="A31" s="104"/>
      <c r="B31" s="81">
        <f>B30+7</f>
        <v>43037</v>
      </c>
      <c r="C31" s="20">
        <f>D30+G30-H30</f>
        <v>2193.9111009680437</v>
      </c>
      <c r="D31" s="21">
        <f>C31+(C31*0.09)</f>
        <v>2391.3631000551677</v>
      </c>
      <c r="E31" s="17">
        <f>C31/3000</f>
        <v>0.73130370032268122</v>
      </c>
      <c r="F31" s="101">
        <f>(D31-C31)/E31</f>
        <v>270.00000000000011</v>
      </c>
      <c r="G31" s="18"/>
      <c r="H31" s="18"/>
      <c r="I31" s="19">
        <f>E31*50/C31</f>
        <v>1.6666666666666666E-2</v>
      </c>
      <c r="J31" s="87">
        <f>(D31-$C4)/$C4</f>
        <v>0.19568155002758386</v>
      </c>
    </row>
    <row r="32" spans="1:11" ht="13.5" thickBot="1">
      <c r="A32" s="105"/>
      <c r="B32" s="81">
        <f>B31+7</f>
        <v>43044</v>
      </c>
      <c r="C32" s="20">
        <f>D31+G31-H31</f>
        <v>2391.3631000551677</v>
      </c>
      <c r="D32" s="17">
        <f>C32+(C32*-0.0353)</f>
        <v>2306.9479826232205</v>
      </c>
      <c r="E32" s="17">
        <f>C32/3000</f>
        <v>0.79712103335172257</v>
      </c>
      <c r="F32" s="37">
        <f>(D32-C32)/E32</f>
        <v>-105.89999999999976</v>
      </c>
      <c r="G32" s="18"/>
      <c r="H32" s="80">
        <f>(D32-C19)*0.35</f>
        <v>2.9346075619994281</v>
      </c>
      <c r="I32" s="19">
        <f>E32*50/C32</f>
        <v>1.6666666666666666E-2</v>
      </c>
      <c r="J32" s="87">
        <f>(D32-$C4)/$C4</f>
        <v>0.15347399131161024</v>
      </c>
      <c r="K32" s="102" t="s">
        <v>49</v>
      </c>
    </row>
    <row r="33" spans="1:11" ht="13" thickBot="1">
      <c r="A33" s="78"/>
      <c r="B33" s="13"/>
      <c r="C33" s="22"/>
      <c r="D33" s="23"/>
      <c r="E33" s="23"/>
      <c r="F33" s="27"/>
      <c r="G33" s="23"/>
      <c r="H33" s="10"/>
      <c r="I33" s="24"/>
      <c r="J33" s="86"/>
    </row>
    <row r="34" spans="1:11">
      <c r="A34" s="103">
        <v>7</v>
      </c>
      <c r="B34" s="81">
        <f>B32+7</f>
        <v>43051</v>
      </c>
      <c r="C34" s="20">
        <f>D32+G32-H32</f>
        <v>2304.0133750612213</v>
      </c>
      <c r="D34" s="99">
        <f>C34+(C34*-0.1562)</f>
        <v>1944.1264858766585</v>
      </c>
      <c r="E34" s="17">
        <f>C34/3000</f>
        <v>0.76800445835374043</v>
      </c>
      <c r="F34" s="95">
        <f>(D34-C34)/E34</f>
        <v>-468.59999999999997</v>
      </c>
      <c r="G34" s="18"/>
      <c r="H34" s="18"/>
      <c r="I34" s="19">
        <f>E34*50/C34</f>
        <v>1.6666666666666666E-2</v>
      </c>
      <c r="J34" s="90">
        <f>(D34-$C4)/$C4</f>
        <v>-2.7936757061670734E-2</v>
      </c>
    </row>
    <row r="35" spans="1:11">
      <c r="A35" s="104"/>
      <c r="B35" s="81">
        <f>B34+7</f>
        <v>43058</v>
      </c>
      <c r="C35" s="20">
        <f>D34+G34-H34</f>
        <v>1944.1264858766585</v>
      </c>
      <c r="D35" s="17">
        <f>C35+(C35*0.081)</f>
        <v>2101.6007312326678</v>
      </c>
      <c r="E35" s="17">
        <f>C35/2500</f>
        <v>0.77765059435066342</v>
      </c>
      <c r="F35" s="34">
        <f>(D35-C35)/E35</f>
        <v>202.49999999999994</v>
      </c>
      <c r="G35" s="18"/>
      <c r="H35" s="18"/>
      <c r="I35" s="19">
        <f>E35*50/C35</f>
        <v>0.02</v>
      </c>
      <c r="J35" s="87">
        <f>(D35-$C4)/$C4</f>
        <v>5.0800365616333922E-2</v>
      </c>
    </row>
    <row r="36" spans="1:11">
      <c r="A36" s="104"/>
      <c r="B36" s="81">
        <f>B35+7</f>
        <v>43065</v>
      </c>
      <c r="C36" s="20">
        <f>D35+G35-H35</f>
        <v>2101.6007312326678</v>
      </c>
      <c r="D36" s="17">
        <f>C36+(C36*-0.0343)</f>
        <v>2029.5158261513873</v>
      </c>
      <c r="E36" s="17">
        <f>C36/2500</f>
        <v>0.84064029249306715</v>
      </c>
      <c r="F36" s="37">
        <f>(D36-C36)/E36</f>
        <v>-85.750000000000071</v>
      </c>
      <c r="G36" s="18"/>
      <c r="H36" s="18"/>
      <c r="I36" s="19">
        <f>E36*50/C36</f>
        <v>0.02</v>
      </c>
      <c r="J36" s="87">
        <f>(D36-$C4)/$C4</f>
        <v>1.4757913075693636E-2</v>
      </c>
    </row>
    <row r="37" spans="1:11" ht="13" thickBot="1">
      <c r="A37" s="105"/>
      <c r="B37" s="81">
        <f>B36+7</f>
        <v>43072</v>
      </c>
      <c r="C37" s="20">
        <f>D36+G36-H36</f>
        <v>2029.5158261513873</v>
      </c>
      <c r="D37" s="21">
        <f>C37+(C37*0.10018)</f>
        <v>2232.8327216152334</v>
      </c>
      <c r="E37" s="17">
        <f>C37/3250</f>
        <v>0.62446640804658071</v>
      </c>
      <c r="F37" s="101">
        <f>(D37-C37)/E37</f>
        <v>325.58500000000021</v>
      </c>
      <c r="G37" s="18"/>
      <c r="H37" s="80"/>
      <c r="I37" s="19">
        <f>E37*50/C37</f>
        <v>1.5384615384615385E-2</v>
      </c>
      <c r="J37" s="87">
        <f>(D37-$C4)/$C4</f>
        <v>0.11641636080761668</v>
      </c>
    </row>
    <row r="38" spans="1:11" ht="13" thickBot="1">
      <c r="A38" s="78"/>
      <c r="B38" s="13"/>
      <c r="C38" s="22"/>
      <c r="D38" s="23"/>
      <c r="E38" s="23"/>
      <c r="F38" s="27"/>
      <c r="G38" s="23"/>
      <c r="H38" s="10"/>
      <c r="I38" s="24"/>
      <c r="J38" s="86"/>
    </row>
    <row r="39" spans="1:11">
      <c r="A39" s="103">
        <v>8</v>
      </c>
      <c r="B39" s="81">
        <f>B37+7</f>
        <v>43079</v>
      </c>
      <c r="C39" s="20">
        <f>D37+G37-H37</f>
        <v>2232.8327216152334</v>
      </c>
      <c r="D39" s="17">
        <f>C39+(C39*0.0214)</f>
        <v>2280.6153418577992</v>
      </c>
      <c r="E39" s="17">
        <f>C39/3250</f>
        <v>0.68702545280468719</v>
      </c>
      <c r="F39" s="34">
        <f>(D39-C39)/E39</f>
        <v>69.549999999999756</v>
      </c>
      <c r="G39" s="18"/>
      <c r="H39" s="18"/>
      <c r="I39" s="19">
        <f>E39*50/C39</f>
        <v>1.5384615384615384E-2</v>
      </c>
      <c r="J39" s="87">
        <f>(D39-$C4)/$C4</f>
        <v>0.14030767092889959</v>
      </c>
    </row>
    <row r="40" spans="1:11">
      <c r="A40" s="104"/>
      <c r="B40" s="81">
        <f>B39+7</f>
        <v>43086</v>
      </c>
      <c r="C40" s="20">
        <f>D39+G39-H39</f>
        <v>2280.6153418577992</v>
      </c>
      <c r="D40" s="17">
        <f>C40+(C40*0.0087)</f>
        <v>2300.4566953319622</v>
      </c>
      <c r="E40" s="17">
        <f>C40/3250</f>
        <v>0.70172779749470748</v>
      </c>
      <c r="F40" s="34">
        <f>(D40-C40)/E40</f>
        <v>28.275000000000269</v>
      </c>
      <c r="G40" s="18"/>
      <c r="H40" s="18"/>
      <c r="I40" s="19">
        <f>E40*50/C40</f>
        <v>1.5384615384615385E-2</v>
      </c>
      <c r="J40" s="87">
        <f>(D40-$C4)/$C4</f>
        <v>0.15022834766598112</v>
      </c>
    </row>
    <row r="41" spans="1:11">
      <c r="A41" s="104"/>
      <c r="B41" s="81">
        <f>B40+7</f>
        <v>43093</v>
      </c>
      <c r="C41" s="20">
        <f>D40+G40-H40</f>
        <v>2300.4566953319622</v>
      </c>
      <c r="D41" s="17">
        <f>C41+(C41*0)</f>
        <v>2300.4566953319622</v>
      </c>
      <c r="E41" s="17">
        <f>C41/3250</f>
        <v>0.70783282933291147</v>
      </c>
      <c r="F41" s="37">
        <f>(D41-C41)/E41</f>
        <v>0</v>
      </c>
      <c r="G41" s="18"/>
      <c r="H41" s="18"/>
      <c r="I41" s="19">
        <f>E41*50/C41</f>
        <v>1.5384615384615385E-2</v>
      </c>
      <c r="J41" s="87">
        <f>(D41-$C4)/$C4</f>
        <v>0.15022834766598112</v>
      </c>
    </row>
    <row r="42" spans="1:11" ht="13" thickBot="1">
      <c r="A42" s="105"/>
      <c r="B42" s="81">
        <f>B41+7</f>
        <v>43100</v>
      </c>
      <c r="C42" s="20">
        <f>D41+G41-H41</f>
        <v>2300.4566953319622</v>
      </c>
      <c r="D42" s="17">
        <f>C42+(C42*0)</f>
        <v>2300.4566953319622</v>
      </c>
      <c r="E42" s="17">
        <f>C42/3250</f>
        <v>0.70783282933291147</v>
      </c>
      <c r="F42" s="37">
        <f>(D42-C42)/E42</f>
        <v>0</v>
      </c>
      <c r="G42" s="18"/>
      <c r="H42" s="80"/>
      <c r="I42" s="19">
        <f>E42*50/C42</f>
        <v>1.5384615384615385E-2</v>
      </c>
      <c r="J42" s="87">
        <f>(D42-$C4)/$C4</f>
        <v>0.15022834766598112</v>
      </c>
    </row>
    <row r="43" spans="1:11" ht="13" thickBot="1">
      <c r="A43" s="78"/>
      <c r="B43" s="13"/>
      <c r="C43" s="22"/>
      <c r="D43" s="23"/>
      <c r="E43" s="23"/>
      <c r="F43" s="27"/>
      <c r="G43" s="23"/>
      <c r="H43" s="10"/>
      <c r="I43" s="24"/>
      <c r="J43" s="86"/>
    </row>
    <row r="44" spans="1:11">
      <c r="A44" s="103">
        <v>9</v>
      </c>
      <c r="B44" s="81">
        <f>B42+7</f>
        <v>43107</v>
      </c>
      <c r="C44" s="20">
        <f>D42+G42-H42</f>
        <v>2300.4566953319622</v>
      </c>
      <c r="D44" s="17">
        <f>C44+(C44*-0.0579)</f>
        <v>2167.2602526722417</v>
      </c>
      <c r="E44" s="17">
        <f>C44/3250</f>
        <v>0.70783282933291147</v>
      </c>
      <c r="F44" s="37">
        <f>(D44-C44)/E44</f>
        <v>-188.17499999999993</v>
      </c>
      <c r="G44" s="18"/>
      <c r="H44" s="18"/>
      <c r="I44" s="19">
        <f>E44*50/C44</f>
        <v>1.5384615384615385E-2</v>
      </c>
      <c r="J44" s="87">
        <f>(D44-$C4)/$C4</f>
        <v>8.3630126336120839E-2</v>
      </c>
    </row>
    <row r="45" spans="1:11">
      <c r="A45" s="104"/>
      <c r="B45" s="81">
        <f>B44+7</f>
        <v>43114</v>
      </c>
      <c r="C45" s="20">
        <f>D44+G44-H44</f>
        <v>2167.2602526722417</v>
      </c>
      <c r="D45" s="99">
        <f>C45+(C45*-0.1565)</f>
        <v>1828.0840231290358</v>
      </c>
      <c r="E45" s="17">
        <f>C45/3250</f>
        <v>0.66684930851453594</v>
      </c>
      <c r="F45" s="95">
        <f>(D45-C45)/E45</f>
        <v>-508.62500000000006</v>
      </c>
      <c r="G45" s="18"/>
      <c r="H45" s="18"/>
      <c r="I45" s="19">
        <f>E45*50/C45</f>
        <v>1.5384615384615387E-2</v>
      </c>
      <c r="J45" s="90">
        <f>(D45-$C4)/$C4</f>
        <v>-8.5957988435482094E-2</v>
      </c>
    </row>
    <row r="46" spans="1:11">
      <c r="A46" s="104"/>
      <c r="B46" s="81">
        <f>B45+7</f>
        <v>43121</v>
      </c>
      <c r="C46" s="20">
        <f>D45+G45-H45</f>
        <v>1828.0840231290358</v>
      </c>
      <c r="D46" s="99">
        <f>C46+(C46*-0.2248)</f>
        <v>1417.1307347296286</v>
      </c>
      <c r="E46" s="17">
        <f>C46/3250</f>
        <v>0.56248739173201101</v>
      </c>
      <c r="F46" s="95">
        <f>(D46-C46)/E46</f>
        <v>-730.6</v>
      </c>
      <c r="G46" s="18"/>
      <c r="H46" s="18"/>
      <c r="I46" s="19">
        <f>E46*50/C46</f>
        <v>1.5384615384615385E-2</v>
      </c>
      <c r="J46" s="93">
        <f>(D46-$C4)/$C4</f>
        <v>-0.29143463263518571</v>
      </c>
    </row>
    <row r="47" spans="1:11" ht="15" thickBot="1">
      <c r="A47" s="105"/>
      <c r="B47" s="81">
        <f>B46+7</f>
        <v>43128</v>
      </c>
      <c r="C47" s="32">
        <f>D46+G46-H46</f>
        <v>1417.1307347296286</v>
      </c>
      <c r="D47" s="17">
        <f>C47+(C47*0.03)</f>
        <v>1459.6446567715175</v>
      </c>
      <c r="E47" s="17">
        <f>C47/3250</f>
        <v>0.43604022607065496</v>
      </c>
      <c r="F47" s="28">
        <f>(D47-C47)/E47</f>
        <v>97.500000000000142</v>
      </c>
      <c r="G47" s="18"/>
      <c r="H47" s="80">
        <f>(D47-C34)*0.35</f>
        <v>-295.52905140139632</v>
      </c>
      <c r="I47" s="19">
        <f>E47*50/C47</f>
        <v>1.5384615384615385E-2</v>
      </c>
      <c r="J47" s="85"/>
      <c r="K47" s="102" t="s">
        <v>49</v>
      </c>
    </row>
    <row r="48" spans="1:11" ht="13" thickBot="1">
      <c r="A48" s="78"/>
      <c r="B48" s="13"/>
      <c r="C48" s="22"/>
      <c r="D48" s="23"/>
      <c r="E48" s="23"/>
      <c r="F48" s="27"/>
      <c r="G48" s="23"/>
      <c r="H48" s="10"/>
      <c r="I48" s="24"/>
      <c r="J48" s="86"/>
    </row>
    <row r="49" spans="1:11">
      <c r="A49" s="103">
        <v>10</v>
      </c>
      <c r="B49" s="81">
        <f>B47+7</f>
        <v>43135</v>
      </c>
      <c r="C49" s="20">
        <f>D47+G47-H47</f>
        <v>1755.1737081729138</v>
      </c>
      <c r="D49" s="17">
        <f>C49+(C49*0.03)</f>
        <v>1807.8289194181013</v>
      </c>
      <c r="E49" s="17">
        <f>C49/3250</f>
        <v>0.54005344866858884</v>
      </c>
      <c r="F49" s="28">
        <f>(D49-C49)/E49</f>
        <v>97.500000000000171</v>
      </c>
      <c r="G49" s="18"/>
      <c r="H49" s="18"/>
      <c r="I49" s="19">
        <f>E49*50/C49</f>
        <v>1.5384615384615384E-2</v>
      </c>
      <c r="J49" s="85"/>
    </row>
    <row r="50" spans="1:11">
      <c r="A50" s="104"/>
      <c r="B50" s="81">
        <f>B49+7</f>
        <v>43142</v>
      </c>
      <c r="C50" s="20">
        <f>D49+G49-H49</f>
        <v>1807.8289194181013</v>
      </c>
      <c r="D50" s="17">
        <f>C50+(C50*0.03)</f>
        <v>1862.0637870006444</v>
      </c>
      <c r="E50" s="17">
        <f>C50/3250</f>
        <v>0.55625505212864657</v>
      </c>
      <c r="F50" s="28">
        <f>(D50-C50)/E50</f>
        <v>97.500000000000057</v>
      </c>
      <c r="G50" s="18"/>
      <c r="H50" s="18"/>
      <c r="I50" s="19">
        <f>E50*50/C50</f>
        <v>1.5384615384615385E-2</v>
      </c>
      <c r="J50" s="85"/>
    </row>
    <row r="51" spans="1:11">
      <c r="A51" s="104"/>
      <c r="B51" s="81">
        <f>B50+7</f>
        <v>43149</v>
      </c>
      <c r="C51" s="20">
        <f>D50+G50-H50</f>
        <v>1862.0637870006444</v>
      </c>
      <c r="D51" s="17">
        <f>C51+(C51*0.03)</f>
        <v>1917.9257006106639</v>
      </c>
      <c r="E51" s="17">
        <f>C51/3250</f>
        <v>0.57294270369250599</v>
      </c>
      <c r="F51" s="28">
        <f>(D51-C51)/E51</f>
        <v>97.500000000000171</v>
      </c>
      <c r="G51" s="18"/>
      <c r="H51" s="18"/>
      <c r="I51" s="19">
        <f>E51*50/C51</f>
        <v>1.5384615384615384E-2</v>
      </c>
      <c r="J51" s="85"/>
    </row>
    <row r="52" spans="1:11" ht="13" thickBot="1">
      <c r="A52" s="105"/>
      <c r="B52" s="81">
        <f>B51+7</f>
        <v>43156</v>
      </c>
      <c r="C52" s="20">
        <f>D51+G51-H51</f>
        <v>1917.9257006106639</v>
      </c>
      <c r="D52" s="17">
        <f>C52+(C52*0.03)</f>
        <v>1975.4634716289838</v>
      </c>
      <c r="E52" s="17">
        <f>C52/3250</f>
        <v>0.59013098480328119</v>
      </c>
      <c r="F52" s="28">
        <f>(D52-C52)/E52</f>
        <v>97.500000000000099</v>
      </c>
      <c r="G52" s="18"/>
      <c r="H52" s="80"/>
      <c r="I52" s="19">
        <f>E52*50/C52</f>
        <v>1.5384615384615384E-2</v>
      </c>
      <c r="J52" s="85"/>
    </row>
    <row r="53" spans="1:11" ht="13" thickBot="1">
      <c r="A53" s="78"/>
      <c r="B53" s="13"/>
      <c r="C53" s="22"/>
      <c r="D53" s="23"/>
      <c r="E53" s="23"/>
      <c r="F53" s="27"/>
      <c r="G53" s="23"/>
      <c r="H53" s="10"/>
      <c r="I53" s="24"/>
      <c r="J53" s="86"/>
    </row>
    <row r="54" spans="1:11">
      <c r="A54" s="103">
        <v>11</v>
      </c>
      <c r="B54" s="81">
        <f>B52+7</f>
        <v>43163</v>
      </c>
      <c r="C54" s="20">
        <f>D52+G52-H52</f>
        <v>1975.4634716289838</v>
      </c>
      <c r="D54" s="17">
        <f>C54+(C54*0.03)</f>
        <v>2034.7273757778532</v>
      </c>
      <c r="E54" s="17">
        <f>C54/3250</f>
        <v>0.60783491434737968</v>
      </c>
      <c r="F54" s="28">
        <f>(D54-C54)/E54</f>
        <v>97.499999999999829</v>
      </c>
      <c r="G54" s="18"/>
      <c r="H54" s="18"/>
      <c r="I54" s="19">
        <f>E54*50/C54</f>
        <v>1.5384615384615385E-2</v>
      </c>
      <c r="J54" s="85"/>
    </row>
    <row r="55" spans="1:11">
      <c r="A55" s="104"/>
      <c r="B55" s="81">
        <f>B54+7</f>
        <v>43170</v>
      </c>
      <c r="C55" s="20">
        <f>D54+G54-H54</f>
        <v>2034.7273757778532</v>
      </c>
      <c r="D55" s="17">
        <f>C55+(C55*0.03)</f>
        <v>2095.7691970511887</v>
      </c>
      <c r="E55" s="17">
        <f>C55/3250</f>
        <v>0.62606996177780094</v>
      </c>
      <c r="F55" s="28">
        <f>(D55-C55)/E55</f>
        <v>97.499999999999815</v>
      </c>
      <c r="G55" s="18"/>
      <c r="H55" s="18"/>
      <c r="I55" s="19">
        <f>E55*50/C55</f>
        <v>1.5384615384615384E-2</v>
      </c>
      <c r="J55" s="85"/>
    </row>
    <row r="56" spans="1:11">
      <c r="A56" s="104"/>
      <c r="B56" s="81">
        <f>B55+7</f>
        <v>43177</v>
      </c>
      <c r="C56" s="20">
        <f>D55+G55-H55</f>
        <v>2095.7691970511887</v>
      </c>
      <c r="D56" s="17">
        <f>C56+(C56*0.03)</f>
        <v>2158.6422729627243</v>
      </c>
      <c r="E56" s="17">
        <f>C56/3250</f>
        <v>0.64485206063113498</v>
      </c>
      <c r="F56" s="28">
        <f>(D56-C56)/E56</f>
        <v>97.499999999999872</v>
      </c>
      <c r="G56" s="18"/>
      <c r="H56" s="18"/>
      <c r="I56" s="19">
        <f>E56*50/C56</f>
        <v>1.5384615384615384E-2</v>
      </c>
      <c r="J56" s="85"/>
    </row>
    <row r="57" spans="1:11" ht="13" thickBot="1">
      <c r="A57" s="105"/>
      <c r="B57" s="81">
        <f>B56+7</f>
        <v>43184</v>
      </c>
      <c r="C57" s="20">
        <f>D56+G56-H56</f>
        <v>2158.6422729627243</v>
      </c>
      <c r="D57" s="17">
        <f>C57+(C57*0.03)</f>
        <v>2223.4015411516061</v>
      </c>
      <c r="E57" s="17">
        <f>C57/3250</f>
        <v>0.66419762245006897</v>
      </c>
      <c r="F57" s="28">
        <f>(D57-C57)/E57</f>
        <v>97.500000000000171</v>
      </c>
      <c r="G57" s="18"/>
      <c r="H57" s="80"/>
      <c r="I57" s="19">
        <f>E57*50/C57</f>
        <v>1.5384615384615382E-2</v>
      </c>
      <c r="J57" s="85"/>
    </row>
    <row r="58" spans="1:11" ht="13" thickBot="1">
      <c r="A58" s="78"/>
      <c r="B58" s="13"/>
      <c r="C58" s="22"/>
      <c r="D58" s="23"/>
      <c r="E58" s="23"/>
      <c r="F58" s="27"/>
      <c r="G58" s="23"/>
      <c r="H58" s="10"/>
      <c r="I58" s="24"/>
      <c r="J58" s="86"/>
    </row>
    <row r="59" spans="1:11">
      <c r="A59" s="103">
        <v>12</v>
      </c>
      <c r="B59" s="81">
        <f>B57+7</f>
        <v>43191</v>
      </c>
      <c r="C59" s="20">
        <f>D57+G57-H57</f>
        <v>2223.4015411516061</v>
      </c>
      <c r="D59" s="17">
        <f>C59+(C59*0.03)</f>
        <v>2290.1035873861542</v>
      </c>
      <c r="E59" s="17">
        <f>C59/3250</f>
        <v>0.68412355112357115</v>
      </c>
      <c r="F59" s="28">
        <f>(D59-C59)/E59</f>
        <v>97.499999999999886</v>
      </c>
      <c r="G59" s="18"/>
      <c r="H59" s="18"/>
      <c r="I59" s="19">
        <f>E59*50/C59</f>
        <v>1.5384615384615385E-2</v>
      </c>
      <c r="J59" s="85"/>
    </row>
    <row r="60" spans="1:11">
      <c r="A60" s="104"/>
      <c r="B60" s="81">
        <f>B59+7</f>
        <v>43198</v>
      </c>
      <c r="C60" s="20">
        <f>D59+G59-H59</f>
        <v>2290.1035873861542</v>
      </c>
      <c r="D60" s="17">
        <f>C60+(C60*0.03)</f>
        <v>2358.8066950077387</v>
      </c>
      <c r="E60" s="17">
        <f>C60/3250</f>
        <v>0.7046472576572782</v>
      </c>
      <c r="F60" s="28">
        <f>(D60-C60)/E60</f>
        <v>97.499999999999716</v>
      </c>
      <c r="G60" s="18"/>
      <c r="H60" s="18"/>
      <c r="I60" s="19">
        <f>E60*50/C60</f>
        <v>1.5384615384615384E-2</v>
      </c>
      <c r="J60" s="85"/>
    </row>
    <row r="61" spans="1:11">
      <c r="A61" s="104"/>
      <c r="B61" s="81">
        <f>B60+7</f>
        <v>43205</v>
      </c>
      <c r="C61" s="20">
        <f>D60+G60-H60</f>
        <v>2358.8066950077387</v>
      </c>
      <c r="D61" s="17">
        <f>C61+(C61*0.03)</f>
        <v>2429.5708958579708</v>
      </c>
      <c r="E61" s="17">
        <f>C61/3250</f>
        <v>0.72578667538699648</v>
      </c>
      <c r="F61" s="28">
        <f>(D61-C61)/E61</f>
        <v>97.499999999999929</v>
      </c>
      <c r="G61" s="18"/>
      <c r="H61" s="18"/>
      <c r="I61" s="19">
        <f>E61*50/C61</f>
        <v>1.5384615384615384E-2</v>
      </c>
      <c r="J61" s="85"/>
    </row>
    <row r="62" spans="1:11" ht="13.5" thickBot="1">
      <c r="A62" s="105"/>
      <c r="B62" s="81">
        <f>B61+7</f>
        <v>43212</v>
      </c>
      <c r="C62" s="20">
        <f>D61+G61-H61</f>
        <v>2429.5708958579708</v>
      </c>
      <c r="D62" s="17">
        <f>C62+(C62*0.03)</f>
        <v>2502.4580227337101</v>
      </c>
      <c r="E62" s="17">
        <f>C62/3250</f>
        <v>0.74756027564860639</v>
      </c>
      <c r="F62" s="28">
        <f>(D62-C62)/E62</f>
        <v>97.500000000000298</v>
      </c>
      <c r="G62" s="18"/>
      <c r="H62" s="80">
        <f>(D62-C49)*0.35</f>
        <v>261.54951009627865</v>
      </c>
      <c r="I62" s="19">
        <f>E62*50/C62</f>
        <v>1.5384615384615385E-2</v>
      </c>
      <c r="J62" s="85"/>
      <c r="K62" s="102" t="s">
        <v>49</v>
      </c>
    </row>
    <row r="63" spans="1:11" ht="13" thickBot="1">
      <c r="A63" s="78"/>
      <c r="B63" s="13"/>
      <c r="C63" s="22"/>
      <c r="D63" s="23"/>
      <c r="E63" s="23"/>
      <c r="F63" s="27"/>
      <c r="G63" s="23"/>
      <c r="H63" s="10"/>
      <c r="I63" s="24"/>
      <c r="J63" s="86"/>
    </row>
    <row r="64" spans="1:11">
      <c r="A64" s="103">
        <v>13</v>
      </c>
      <c r="B64" s="81">
        <f>B62+7</f>
        <v>43219</v>
      </c>
      <c r="C64" s="20">
        <f>D62+G62-H62</f>
        <v>2240.9085126374316</v>
      </c>
      <c r="D64" s="17">
        <f>C64+(C64*0.03)</f>
        <v>2308.1357680165547</v>
      </c>
      <c r="E64" s="17">
        <f>C64/3250</f>
        <v>0.68951031158074816</v>
      </c>
      <c r="F64" s="28">
        <f>(D64-C64)/E64</f>
        <v>97.500000000000242</v>
      </c>
      <c r="G64" s="17"/>
      <c r="H64" s="79"/>
      <c r="I64" s="19">
        <f>E64*50/C64</f>
        <v>1.5384615384615384E-2</v>
      </c>
      <c r="J64" s="85"/>
    </row>
    <row r="65" spans="1:11">
      <c r="A65" s="104"/>
      <c r="B65" s="81">
        <f>B64+7</f>
        <v>43226</v>
      </c>
      <c r="C65" s="20">
        <f>D64+G64-H64</f>
        <v>2308.1357680165547</v>
      </c>
      <c r="D65" s="17">
        <f>C65+(C65*0.03)</f>
        <v>2377.3798410570512</v>
      </c>
      <c r="E65" s="17">
        <f>C65/3250</f>
        <v>0.71019562092817068</v>
      </c>
      <c r="F65" s="28">
        <f>(D65-C65)/E65</f>
        <v>97.499999999999744</v>
      </c>
      <c r="G65" s="17"/>
      <c r="H65" s="79"/>
      <c r="I65" s="19">
        <f>E65*50/C65</f>
        <v>1.5384615384615385E-2</v>
      </c>
      <c r="J65" s="85"/>
    </row>
    <row r="66" spans="1:11">
      <c r="A66" s="104"/>
      <c r="B66" s="81">
        <f>B65+7</f>
        <v>43233</v>
      </c>
      <c r="C66" s="20">
        <f>D65+G65-H65</f>
        <v>2377.3798410570512</v>
      </c>
      <c r="D66" s="17">
        <f>C66+(C66*0.03)</f>
        <v>2448.7012362887626</v>
      </c>
      <c r="E66" s="17">
        <f>C66/3250</f>
        <v>0.73150148955601579</v>
      </c>
      <c r="F66" s="28">
        <f>(D66-C66)/E66</f>
        <v>97.499999999999872</v>
      </c>
      <c r="G66" s="17"/>
      <c r="H66" s="79"/>
      <c r="I66" s="19">
        <f>E66*50/C66</f>
        <v>1.5384615384615385E-2</v>
      </c>
      <c r="J66" s="85"/>
    </row>
    <row r="67" spans="1:11" ht="13" thickBot="1">
      <c r="A67" s="105"/>
      <c r="B67" s="81">
        <f>B66+7</f>
        <v>43240</v>
      </c>
      <c r="C67" s="20">
        <f>D66+G66-H66</f>
        <v>2448.7012362887626</v>
      </c>
      <c r="D67" s="17">
        <f>C67+(C67*0.03)</f>
        <v>2522.1622733774257</v>
      </c>
      <c r="E67" s="17">
        <f>C67/3250</f>
        <v>0.75344653424269614</v>
      </c>
      <c r="F67" s="28">
        <f>(D67-C67)/E67</f>
        <v>97.500000000000213</v>
      </c>
      <c r="G67" s="18"/>
      <c r="H67" s="80"/>
      <c r="I67" s="19">
        <f>E67*50/C67</f>
        <v>1.5384615384615382E-2</v>
      </c>
      <c r="J67" s="85"/>
    </row>
    <row r="68" spans="1:11" ht="13" thickBot="1">
      <c r="A68" s="78"/>
      <c r="B68" s="13"/>
      <c r="C68" s="22"/>
      <c r="D68" s="23"/>
      <c r="E68" s="23"/>
      <c r="F68" s="27"/>
      <c r="G68" s="23"/>
      <c r="H68" s="10"/>
      <c r="I68" s="24"/>
      <c r="J68" s="86"/>
    </row>
    <row r="69" spans="1:11">
      <c r="A69" s="103">
        <v>14</v>
      </c>
      <c r="B69" s="81">
        <f>B67+7</f>
        <v>43247</v>
      </c>
      <c r="C69" s="20">
        <f>D67+G67-H67</f>
        <v>2522.1622733774257</v>
      </c>
      <c r="D69" s="17">
        <f>C69+(C69*0.03)</f>
        <v>2597.8271415787485</v>
      </c>
      <c r="E69" s="17">
        <f>C69/3250</f>
        <v>0.77604993026997715</v>
      </c>
      <c r="F69" s="28">
        <f>(D69-C69)/E69</f>
        <v>97.500000000000114</v>
      </c>
      <c r="G69" s="18"/>
      <c r="H69" s="18"/>
      <c r="I69" s="19">
        <f>E69*50/C69</f>
        <v>1.5384615384615385E-2</v>
      </c>
      <c r="J69" s="85"/>
    </row>
    <row r="70" spans="1:11">
      <c r="A70" s="104"/>
      <c r="B70" s="81">
        <f>B69+7</f>
        <v>43254</v>
      </c>
      <c r="C70" s="20">
        <f>D69+G69-H69</f>
        <v>2597.8271415787485</v>
      </c>
      <c r="D70" s="17">
        <f>C70+(C70*0.03)</f>
        <v>2675.7619558261108</v>
      </c>
      <c r="E70" s="17">
        <f>C70/3250</f>
        <v>0.79933142817807645</v>
      </c>
      <c r="F70" s="28">
        <f>(D70-C70)/E70</f>
        <v>97.499999999999787</v>
      </c>
      <c r="G70" s="18"/>
      <c r="H70" s="18"/>
      <c r="I70" s="19">
        <f>E70*50/C70</f>
        <v>1.5384615384615385E-2</v>
      </c>
      <c r="J70" s="85"/>
    </row>
    <row r="71" spans="1:11">
      <c r="A71" s="104"/>
      <c r="B71" s="81">
        <f>B70+7</f>
        <v>43261</v>
      </c>
      <c r="C71" s="20">
        <f>D70+G70-H70</f>
        <v>2675.7619558261108</v>
      </c>
      <c r="D71" s="17">
        <f>C71+(C71*0.03)</f>
        <v>2756.0348145008943</v>
      </c>
      <c r="E71" s="17">
        <f>C71/3250</f>
        <v>0.82331137102341867</v>
      </c>
      <c r="F71" s="28">
        <f>(D71-C71)/E71</f>
        <v>97.500000000000213</v>
      </c>
      <c r="G71" s="18"/>
      <c r="H71" s="18"/>
      <c r="I71" s="19">
        <f>E71*50/C71</f>
        <v>1.5384615384615384E-2</v>
      </c>
      <c r="J71" s="85"/>
    </row>
    <row r="72" spans="1:11" ht="13" thickBot="1">
      <c r="A72" s="105"/>
      <c r="B72" s="81">
        <f>B71+7</f>
        <v>43268</v>
      </c>
      <c r="C72" s="20">
        <f>D71+G71-H71</f>
        <v>2756.0348145008943</v>
      </c>
      <c r="D72" s="17">
        <f>C72+(C72*0.03)</f>
        <v>2838.715858935921</v>
      </c>
      <c r="E72" s="17">
        <f>C72/3250</f>
        <v>0.84801071215412127</v>
      </c>
      <c r="F72" s="28">
        <f>(D72-C72)/E72</f>
        <v>97.499999999999858</v>
      </c>
      <c r="G72" s="18"/>
      <c r="H72" s="80"/>
      <c r="I72" s="19">
        <f>E72*50/C72</f>
        <v>1.5384615384615382E-2</v>
      </c>
      <c r="J72" s="85"/>
    </row>
    <row r="73" spans="1:11" ht="13" thickBot="1">
      <c r="A73" s="78"/>
      <c r="B73" s="13"/>
      <c r="C73" s="22"/>
      <c r="D73" s="23"/>
      <c r="E73" s="23"/>
      <c r="F73" s="27"/>
      <c r="G73" s="23"/>
      <c r="H73" s="10"/>
      <c r="I73" s="24"/>
      <c r="J73" s="86"/>
    </row>
    <row r="74" spans="1:11">
      <c r="A74" s="103">
        <v>15</v>
      </c>
      <c r="B74" s="81">
        <f>B72+7</f>
        <v>43275</v>
      </c>
      <c r="C74" s="20">
        <f>D72+G72-H72</f>
        <v>2838.715858935921</v>
      </c>
      <c r="D74" s="17">
        <f>C74+(C74*0.03)</f>
        <v>2923.8773347039987</v>
      </c>
      <c r="E74" s="17">
        <f>C74/3250</f>
        <v>0.87345103351874498</v>
      </c>
      <c r="F74" s="28">
        <f>(D74-C74)/E74</f>
        <v>97.500000000000085</v>
      </c>
      <c r="G74" s="18"/>
      <c r="H74" s="18"/>
      <c r="I74" s="19">
        <f>E74*50/C74</f>
        <v>1.5384615384615385E-2</v>
      </c>
      <c r="J74" s="85"/>
    </row>
    <row r="75" spans="1:11">
      <c r="A75" s="104"/>
      <c r="B75" s="81">
        <f>B74+7</f>
        <v>43282</v>
      </c>
      <c r="C75" s="20">
        <f>D74+G74-H74</f>
        <v>2923.8773347039987</v>
      </c>
      <c r="D75" s="17">
        <f>C75+(C75*0.03)</f>
        <v>3011.5936547451188</v>
      </c>
      <c r="E75" s="17">
        <f>C75/3250</f>
        <v>0.89965456452430725</v>
      </c>
      <c r="F75" s="28">
        <f>(D75-C75)/E75</f>
        <v>97.500000000000128</v>
      </c>
      <c r="G75" s="18"/>
      <c r="H75" s="18"/>
      <c r="I75" s="19">
        <f>E75*50/C75</f>
        <v>1.5384615384615384E-2</v>
      </c>
      <c r="J75" s="85"/>
    </row>
    <row r="76" spans="1:11">
      <c r="A76" s="104"/>
      <c r="B76" s="81">
        <f>B75+7</f>
        <v>43289</v>
      </c>
      <c r="C76" s="20">
        <f>D75+G75-H75</f>
        <v>3011.5936547451188</v>
      </c>
      <c r="D76" s="17">
        <f>C76+(C76*0.03)</f>
        <v>3101.9414643874725</v>
      </c>
      <c r="E76" s="17">
        <f>C76/3250</f>
        <v>0.92664420146003657</v>
      </c>
      <c r="F76" s="28">
        <f>(D76-C76)/E76</f>
        <v>97.500000000000142</v>
      </c>
      <c r="G76" s="18"/>
      <c r="H76" s="18"/>
      <c r="I76" s="19">
        <f>E76*50/C76</f>
        <v>1.5384615384615384E-2</v>
      </c>
      <c r="J76" s="85"/>
    </row>
    <row r="77" spans="1:11" ht="13.5" thickBot="1">
      <c r="A77" s="105"/>
      <c r="B77" s="81">
        <f>B76+7</f>
        <v>43296</v>
      </c>
      <c r="C77" s="20">
        <f>D76+G76-H76</f>
        <v>3101.9414643874725</v>
      </c>
      <c r="D77" s="17">
        <f>C77+(C77*0.03)</f>
        <v>3194.9997083190965</v>
      </c>
      <c r="E77" s="17">
        <f>C77/3250</f>
        <v>0.95444352750383765</v>
      </c>
      <c r="F77" s="28">
        <f>(D77-C77)/E77</f>
        <v>97.499999999999844</v>
      </c>
      <c r="G77" s="18"/>
      <c r="H77" s="80">
        <f>(D77-C64)*0.35</f>
        <v>333.93191848858271</v>
      </c>
      <c r="I77" s="19">
        <f>E77*50/C77</f>
        <v>1.5384615384615385E-2</v>
      </c>
      <c r="J77" s="85"/>
      <c r="K77" s="102" t="s">
        <v>49</v>
      </c>
    </row>
    <row r="78" spans="1:11" ht="13" thickBot="1">
      <c r="A78" s="78"/>
      <c r="B78" s="13"/>
      <c r="C78" s="22"/>
      <c r="D78" s="23"/>
      <c r="E78" s="23"/>
      <c r="F78" s="27"/>
      <c r="G78" s="23"/>
      <c r="H78" s="10"/>
      <c r="I78" s="24"/>
      <c r="J78" s="86"/>
    </row>
    <row r="79" spans="1:11">
      <c r="A79" s="103">
        <v>16</v>
      </c>
      <c r="B79" s="81">
        <f>B77+7</f>
        <v>43303</v>
      </c>
      <c r="C79" s="20">
        <f>D77+G77-H77</f>
        <v>2861.0677898305139</v>
      </c>
      <c r="D79" s="17">
        <f>C79+(C79*0.03)</f>
        <v>2946.8998235254294</v>
      </c>
      <c r="E79" s="17">
        <f>C79/3250</f>
        <v>0.88032855071708116</v>
      </c>
      <c r="F79" s="28">
        <f>(D79-C79)/E79</f>
        <v>97.500000000000071</v>
      </c>
      <c r="G79" s="18"/>
      <c r="H79" s="18"/>
      <c r="I79" s="19">
        <f>E79*50/C79</f>
        <v>1.5384615384615384E-2</v>
      </c>
      <c r="J79" s="85"/>
    </row>
    <row r="80" spans="1:11">
      <c r="A80" s="104"/>
      <c r="B80" s="81">
        <f>B79+7</f>
        <v>43310</v>
      </c>
      <c r="C80" s="20">
        <f>D79+G79-H79</f>
        <v>2946.8998235254294</v>
      </c>
      <c r="D80" s="17">
        <f>C80+(C80*0.03)</f>
        <v>3035.3068182311922</v>
      </c>
      <c r="E80" s="17">
        <f>C80/3250</f>
        <v>0.90673840723859367</v>
      </c>
      <c r="F80" s="28">
        <f>(D80-C80)/E80</f>
        <v>97.499999999999943</v>
      </c>
      <c r="G80" s="18"/>
      <c r="H80" s="18"/>
      <c r="I80" s="19">
        <f>E80*50/C80</f>
        <v>1.5384615384615385E-2</v>
      </c>
      <c r="J80" s="85"/>
    </row>
    <row r="81" spans="1:11">
      <c r="A81" s="104"/>
      <c r="B81" s="81">
        <f>B80+7</f>
        <v>43317</v>
      </c>
      <c r="C81" s="20">
        <f>D80+G80-H80</f>
        <v>3035.3068182311922</v>
      </c>
      <c r="D81" s="17">
        <f>C81+(C81*0.03)</f>
        <v>3126.3660227781279</v>
      </c>
      <c r="E81" s="17">
        <f>C81/3250</f>
        <v>0.9339405594557515</v>
      </c>
      <c r="F81" s="28">
        <f>(D81-C81)/E81</f>
        <v>97.499999999999915</v>
      </c>
      <c r="G81" s="18"/>
      <c r="H81" s="18"/>
      <c r="I81" s="19">
        <f>E81*50/C81</f>
        <v>1.5384615384615385E-2</v>
      </c>
      <c r="J81" s="85"/>
    </row>
    <row r="82" spans="1:11" ht="13" thickBot="1">
      <c r="A82" s="105"/>
      <c r="B82" s="81">
        <f>B81+7</f>
        <v>43324</v>
      </c>
      <c r="C82" s="20">
        <f>D81+G81-H81</f>
        <v>3126.3660227781279</v>
      </c>
      <c r="D82" s="17">
        <f>C82+(C82*0.03)</f>
        <v>3220.1570034614715</v>
      </c>
      <c r="E82" s="17">
        <f>C82/3250</f>
        <v>0.96195877623942394</v>
      </c>
      <c r="F82" s="28">
        <f>(D82-C82)/E82</f>
        <v>97.499999999999758</v>
      </c>
      <c r="G82" s="18"/>
      <c r="H82" s="80"/>
      <c r="I82" s="19">
        <f>E82*50/C82</f>
        <v>1.5384615384615384E-2</v>
      </c>
      <c r="J82" s="85"/>
    </row>
    <row r="83" spans="1:11" ht="13" thickBot="1">
      <c r="A83" s="78"/>
      <c r="B83" s="13"/>
      <c r="C83" s="22"/>
      <c r="D83" s="23"/>
      <c r="E83" s="23"/>
      <c r="F83" s="27"/>
      <c r="G83" s="23"/>
      <c r="H83" s="10"/>
      <c r="I83" s="24"/>
      <c r="J83" s="86"/>
    </row>
    <row r="84" spans="1:11">
      <c r="A84" s="103">
        <v>17</v>
      </c>
      <c r="B84" s="81">
        <f>B82+7</f>
        <v>43331</v>
      </c>
      <c r="C84" s="20">
        <f>D82+G82-H82</f>
        <v>3220.1570034614715</v>
      </c>
      <c r="D84" s="17">
        <f>C84+(C84*0.03)</f>
        <v>3316.7617135653159</v>
      </c>
      <c r="E84" s="17">
        <f>C84/3250</f>
        <v>0.99081753952660667</v>
      </c>
      <c r="F84" s="28">
        <f>(D84-C84)/E84</f>
        <v>97.500000000000199</v>
      </c>
      <c r="G84" s="18"/>
      <c r="H84" s="18"/>
      <c r="I84" s="19">
        <f>E84*50/C84</f>
        <v>1.5384615384615385E-2</v>
      </c>
      <c r="J84" s="85"/>
    </row>
    <row r="85" spans="1:11">
      <c r="A85" s="104"/>
      <c r="B85" s="81">
        <f>B84+7</f>
        <v>43338</v>
      </c>
      <c r="C85" s="20">
        <f>D84+G84-H84</f>
        <v>3316.7617135653159</v>
      </c>
      <c r="D85" s="17">
        <f>C85+(C85*0.03)</f>
        <v>3416.2645649722754</v>
      </c>
      <c r="E85" s="17">
        <f>C85/3250</f>
        <v>1.0205420657124049</v>
      </c>
      <c r="F85" s="28">
        <f>(D85-C85)/E85</f>
        <v>97.500000000000028</v>
      </c>
      <c r="G85" s="18"/>
      <c r="H85" s="18"/>
      <c r="I85" s="19">
        <f>E85*50/C85</f>
        <v>1.5384615384615384E-2</v>
      </c>
      <c r="J85" s="85"/>
    </row>
    <row r="86" spans="1:11">
      <c r="A86" s="104"/>
      <c r="B86" s="81">
        <f>B85+7</f>
        <v>43345</v>
      </c>
      <c r="C86" s="20">
        <f>D85+G85-H85</f>
        <v>3416.2645649722754</v>
      </c>
      <c r="D86" s="17">
        <f>C86+(C86*0.03)</f>
        <v>3518.7525019214436</v>
      </c>
      <c r="E86" s="17">
        <f>C86/3250</f>
        <v>1.051158327683777</v>
      </c>
      <c r="F86" s="28">
        <f>(D86-C86)/E86</f>
        <v>97.499999999999957</v>
      </c>
      <c r="G86" s="18"/>
      <c r="H86" s="18"/>
      <c r="I86" s="19">
        <f>E86*50/C86</f>
        <v>1.5384615384615384E-2</v>
      </c>
      <c r="J86" s="85"/>
    </row>
    <row r="87" spans="1:11" ht="13" thickBot="1">
      <c r="A87" s="105"/>
      <c r="B87" s="81">
        <f>B86+7</f>
        <v>43352</v>
      </c>
      <c r="C87" s="20">
        <f>D86+G86-H86</f>
        <v>3518.7525019214436</v>
      </c>
      <c r="D87" s="17">
        <f>C87+(C87*0.03)</f>
        <v>3624.3150769790868</v>
      </c>
      <c r="E87" s="17">
        <f>C87/3250</f>
        <v>1.0826930775142902</v>
      </c>
      <c r="F87" s="28">
        <f>(D87-C87)/E87</f>
        <v>97.499999999999957</v>
      </c>
      <c r="G87" s="18"/>
      <c r="H87" s="80"/>
      <c r="I87" s="19">
        <f>E87*50/C87</f>
        <v>1.5384615384615384E-2</v>
      </c>
      <c r="J87" s="85"/>
    </row>
    <row r="88" spans="1:11" ht="13" thickBot="1">
      <c r="A88" s="78"/>
      <c r="B88" s="13"/>
      <c r="C88" s="22"/>
      <c r="D88" s="23"/>
      <c r="E88" s="23"/>
      <c r="F88" s="27"/>
      <c r="G88" s="23"/>
      <c r="H88" s="10"/>
      <c r="I88" s="24"/>
      <c r="J88" s="86"/>
    </row>
    <row r="89" spans="1:11">
      <c r="A89" s="103">
        <v>18</v>
      </c>
      <c r="B89" s="81">
        <f>B87+7</f>
        <v>43359</v>
      </c>
      <c r="C89" s="20">
        <f>D87+G87-H87</f>
        <v>3624.3150769790868</v>
      </c>
      <c r="D89" s="17">
        <f>C89+(C89*0.03)</f>
        <v>3733.0445292884592</v>
      </c>
      <c r="E89" s="17">
        <f>C89/3250</f>
        <v>1.1151738698397191</v>
      </c>
      <c r="F89" s="28">
        <f>(D89-C89)/E89</f>
        <v>97.499999999999801</v>
      </c>
      <c r="G89" s="18"/>
      <c r="H89" s="18"/>
      <c r="I89" s="19">
        <f>E89*50/C89</f>
        <v>1.5384615384615387E-2</v>
      </c>
      <c r="J89" s="85"/>
    </row>
    <row r="90" spans="1:11">
      <c r="A90" s="104"/>
      <c r="B90" s="81">
        <f>B89+7</f>
        <v>43366</v>
      </c>
      <c r="C90" s="20">
        <f>D89+G89-H89</f>
        <v>3733.0445292884592</v>
      </c>
      <c r="D90" s="17">
        <f>C90+(C90*0.03)</f>
        <v>3845.0358651671131</v>
      </c>
      <c r="E90" s="17">
        <f>C90/3250</f>
        <v>1.1486290859349104</v>
      </c>
      <c r="F90" s="28">
        <f>(D90-C90)/E90</f>
        <v>97.500000000000114</v>
      </c>
      <c r="G90" s="18"/>
      <c r="H90" s="18"/>
      <c r="I90" s="19">
        <f>E90*50/C90</f>
        <v>1.5384615384615384E-2</v>
      </c>
      <c r="J90" s="85"/>
    </row>
    <row r="91" spans="1:11">
      <c r="A91" s="104"/>
      <c r="B91" s="81">
        <f>B90+7</f>
        <v>43373</v>
      </c>
      <c r="C91" s="20">
        <f>D90+G90-H90</f>
        <v>3845.0358651671131</v>
      </c>
      <c r="D91" s="17">
        <f>C91+(C91*0.03)</f>
        <v>3960.3869411221267</v>
      </c>
      <c r="E91" s="17">
        <f>C91/3250</f>
        <v>1.1830879585129579</v>
      </c>
      <c r="F91" s="28">
        <f>(D91-C91)/E91</f>
        <v>97.500000000000156</v>
      </c>
      <c r="G91" s="18"/>
      <c r="H91" s="18"/>
      <c r="I91" s="19">
        <f>E91*50/C91</f>
        <v>1.5384615384615384E-2</v>
      </c>
      <c r="J91" s="85"/>
    </row>
    <row r="92" spans="1:11" ht="13.5" thickBot="1">
      <c r="A92" s="105"/>
      <c r="B92" s="81">
        <f>B91+7</f>
        <v>43380</v>
      </c>
      <c r="C92" s="20">
        <f>D91+G91-H91</f>
        <v>3960.3869411221267</v>
      </c>
      <c r="D92" s="17">
        <f>C92+(C92*0.03)</f>
        <v>4079.1985493557904</v>
      </c>
      <c r="E92" s="17">
        <f>C92/3250</f>
        <v>1.2185805972683468</v>
      </c>
      <c r="F92" s="28">
        <f>(D92-C92)/E92</f>
        <v>97.499999999999929</v>
      </c>
      <c r="G92" s="18"/>
      <c r="H92" s="80">
        <f>(D92-C79)*0.35</f>
        <v>426.34576583384677</v>
      </c>
      <c r="I92" s="19">
        <f>E92*50/C92</f>
        <v>1.5384615384615387E-2</v>
      </c>
      <c r="J92" s="85"/>
      <c r="K92" s="102" t="s">
        <v>49</v>
      </c>
    </row>
    <row r="93" spans="1:11" ht="13" thickBot="1">
      <c r="A93" s="78"/>
      <c r="B93" s="13"/>
      <c r="C93" s="22"/>
      <c r="D93" s="23"/>
      <c r="E93" s="23"/>
      <c r="F93" s="27"/>
      <c r="G93" s="23"/>
      <c r="H93" s="10"/>
      <c r="I93" s="24"/>
      <c r="J93" s="86"/>
    </row>
    <row r="94" spans="1:11">
      <c r="A94" s="103">
        <v>19</v>
      </c>
      <c r="B94" s="81">
        <f>B92+7</f>
        <v>43387</v>
      </c>
      <c r="C94" s="20">
        <f>D92+G92-H92</f>
        <v>3652.8527835219438</v>
      </c>
      <c r="D94" s="17">
        <f>C94+(C94*0.03)</f>
        <v>3762.438367027602</v>
      </c>
      <c r="E94" s="17">
        <f>C94/3250</f>
        <v>1.1239547026221366</v>
      </c>
      <c r="F94" s="28">
        <f>(D94-C94)/E94</f>
        <v>97.499999999999872</v>
      </c>
      <c r="G94" s="17"/>
      <c r="H94" s="18"/>
      <c r="I94" s="19">
        <f>E94*50/C94</f>
        <v>1.5384615384615385E-2</v>
      </c>
      <c r="J94" s="85"/>
    </row>
    <row r="95" spans="1:11">
      <c r="A95" s="104"/>
      <c r="B95" s="81">
        <f>B94+7</f>
        <v>43394</v>
      </c>
      <c r="C95" s="20">
        <f>D94+G94-H94</f>
        <v>3762.438367027602</v>
      </c>
      <c r="D95" s="17">
        <f>C95+(C95*0.03)</f>
        <v>3875.3115180384302</v>
      </c>
      <c r="E95" s="17">
        <f>C95/3250</f>
        <v>1.1576733437008007</v>
      </c>
      <c r="F95" s="28">
        <f>(D95-C95)/E95</f>
        <v>97.500000000000142</v>
      </c>
      <c r="G95" s="17"/>
      <c r="H95" s="18"/>
      <c r="I95" s="19">
        <f>E95*50/C95</f>
        <v>1.5384615384615385E-2</v>
      </c>
      <c r="J95" s="85"/>
    </row>
    <row r="96" spans="1:11">
      <c r="A96" s="104"/>
      <c r="B96" s="81">
        <f>B95+7</f>
        <v>43401</v>
      </c>
      <c r="C96" s="20">
        <f>D95+G95-H95</f>
        <v>3875.3115180384302</v>
      </c>
      <c r="D96" s="17">
        <f>C96+(C96*0.03)</f>
        <v>3991.5708635795831</v>
      </c>
      <c r="E96" s="17">
        <f>C96/3250</f>
        <v>1.1924035440118246</v>
      </c>
      <c r="F96" s="28">
        <f>(D96-C96)/E96</f>
        <v>97.500000000000028</v>
      </c>
      <c r="G96" s="17"/>
      <c r="H96" s="18"/>
      <c r="I96" s="19">
        <f>E96*50/C96</f>
        <v>1.5384615384615384E-2</v>
      </c>
      <c r="J96" s="85"/>
    </row>
    <row r="97" spans="1:11" ht="13" thickBot="1">
      <c r="A97" s="105"/>
      <c r="B97" s="81">
        <f>B96+7</f>
        <v>43408</v>
      </c>
      <c r="C97" s="20">
        <f>D96+G96-H96</f>
        <v>3991.5708635795831</v>
      </c>
      <c r="D97" s="17">
        <f>C97+(C97*0.03)</f>
        <v>4111.3179894869709</v>
      </c>
      <c r="E97" s="17">
        <f>C97/3250</f>
        <v>1.2281756503321795</v>
      </c>
      <c r="F97" s="28">
        <f>(D97-C97)/E97</f>
        <v>97.500000000000185</v>
      </c>
      <c r="G97" s="18"/>
      <c r="H97" s="80"/>
      <c r="I97" s="19">
        <f>E97*50/C97</f>
        <v>1.5384615384615385E-2</v>
      </c>
      <c r="J97" s="85"/>
    </row>
    <row r="98" spans="1:11" ht="13" thickBot="1">
      <c r="A98" s="78"/>
      <c r="B98" s="13"/>
      <c r="C98" s="22"/>
      <c r="D98" s="23"/>
      <c r="E98" s="23"/>
      <c r="F98" s="27"/>
      <c r="G98" s="23"/>
      <c r="H98" s="10"/>
      <c r="I98" s="24"/>
      <c r="J98" s="86"/>
    </row>
    <row r="99" spans="1:11">
      <c r="A99" s="103">
        <v>20</v>
      </c>
      <c r="B99" s="81">
        <f>B97+7</f>
        <v>43415</v>
      </c>
      <c r="C99" s="20">
        <f>D97+G97-H97</f>
        <v>4111.3179894869709</v>
      </c>
      <c r="D99" s="17">
        <f>C99+(C99*0.03)</f>
        <v>4234.6575291715799</v>
      </c>
      <c r="E99" s="17">
        <f>C99/3250</f>
        <v>1.2650209198421449</v>
      </c>
      <c r="F99" s="28">
        <f>(D99-C99)/E99</f>
        <v>97.499999999999901</v>
      </c>
      <c r="G99" s="18"/>
      <c r="H99" s="18"/>
      <c r="I99" s="19">
        <f>E99*50/C99</f>
        <v>1.5384615384615384E-2</v>
      </c>
      <c r="J99" s="85"/>
    </row>
    <row r="100" spans="1:11">
      <c r="A100" s="104"/>
      <c r="B100" s="81">
        <f>B99+7</f>
        <v>43422</v>
      </c>
      <c r="C100" s="20">
        <f>D99+G99-H99</f>
        <v>4234.6575291715799</v>
      </c>
      <c r="D100" s="17">
        <f>C100+(C100*0.03)</f>
        <v>4361.6972550467272</v>
      </c>
      <c r="E100" s="17">
        <f>C100/3250</f>
        <v>1.3029715474374093</v>
      </c>
      <c r="F100" s="28">
        <f>(D100-C100)/E100</f>
        <v>97.499999999999901</v>
      </c>
      <c r="G100" s="18"/>
      <c r="H100" s="18"/>
      <c r="I100" s="19">
        <f>E100*50/C100</f>
        <v>1.5384615384615384E-2</v>
      </c>
      <c r="J100" s="85"/>
    </row>
    <row r="101" spans="1:11">
      <c r="A101" s="104"/>
      <c r="B101" s="81">
        <f>B100+7</f>
        <v>43429</v>
      </c>
      <c r="C101" s="20">
        <f>D100+G100-H100</f>
        <v>4361.6972550467272</v>
      </c>
      <c r="D101" s="17">
        <f>C101+(C101*0.03)</f>
        <v>4492.5481726981288</v>
      </c>
      <c r="E101" s="17">
        <f>C101/3250</f>
        <v>1.3420606938605315</v>
      </c>
      <c r="F101" s="28">
        <f>(D101-C101)/E101</f>
        <v>97.499999999999901</v>
      </c>
      <c r="G101" s="18"/>
      <c r="H101" s="18"/>
      <c r="I101" s="19">
        <f>E101*50/C101</f>
        <v>1.5384615384615385E-2</v>
      </c>
      <c r="J101" s="85"/>
    </row>
    <row r="102" spans="1:11" ht="13" thickBot="1">
      <c r="A102" s="105"/>
      <c r="B102" s="81">
        <f>B101+7</f>
        <v>43436</v>
      </c>
      <c r="C102" s="20">
        <f>D101+G101-H101</f>
        <v>4492.5481726981288</v>
      </c>
      <c r="D102" s="17">
        <f>C102+(C102*0.03)</f>
        <v>4627.3246178790723</v>
      </c>
      <c r="E102" s="17">
        <f>C102/3250</f>
        <v>1.3823225146763474</v>
      </c>
      <c r="F102" s="28">
        <f>(D102-C102)/E102</f>
        <v>97.499999999999716</v>
      </c>
      <c r="G102" s="18"/>
      <c r="H102" s="80"/>
      <c r="I102" s="19">
        <f>E102*50/C102</f>
        <v>1.5384615384615385E-2</v>
      </c>
      <c r="J102" s="85"/>
    </row>
    <row r="103" spans="1:11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6"/>
    </row>
    <row r="104" spans="1:11">
      <c r="A104" s="103">
        <v>21</v>
      </c>
      <c r="B104" s="81">
        <f>B102+7</f>
        <v>43443</v>
      </c>
      <c r="C104" s="20">
        <f>D102+G102-H102</f>
        <v>4627.3246178790723</v>
      </c>
      <c r="D104" s="17">
        <f>C104+(C104*0.03)</f>
        <v>4766.1443564154442</v>
      </c>
      <c r="E104" s="17">
        <f>C104/3250</f>
        <v>1.4237921901166377</v>
      </c>
      <c r="F104" s="28">
        <f>(D104-C104)/E104</f>
        <v>97.499999999999815</v>
      </c>
      <c r="G104" s="18"/>
      <c r="H104" s="18"/>
      <c r="I104" s="19">
        <f>E104*50/C104</f>
        <v>1.5384615384615385E-2</v>
      </c>
      <c r="J104" s="85"/>
    </row>
    <row r="105" spans="1:11">
      <c r="A105" s="104"/>
      <c r="B105" s="81">
        <f>B104+7</f>
        <v>43450</v>
      </c>
      <c r="C105" s="20">
        <f>D104+G104-H104</f>
        <v>4766.1443564154442</v>
      </c>
      <c r="D105" s="17">
        <f>C105+(C105*0.03)</f>
        <v>4909.1286871079074</v>
      </c>
      <c r="E105" s="17">
        <f>C105/3250</f>
        <v>1.4665059558201368</v>
      </c>
      <c r="F105" s="28">
        <f>(D105-C105)/E105</f>
        <v>97.499999999999858</v>
      </c>
      <c r="G105" s="18"/>
      <c r="H105" s="18"/>
      <c r="I105" s="19">
        <f>E105*50/C105</f>
        <v>1.5384615384615384E-2</v>
      </c>
      <c r="J105" s="85"/>
    </row>
    <row r="106" spans="1:11">
      <c r="A106" s="104"/>
      <c r="B106" s="81">
        <f>B105+7</f>
        <v>43457</v>
      </c>
      <c r="C106" s="20">
        <f>D105+G105-H105</f>
        <v>4909.1286871079074</v>
      </c>
      <c r="D106" s="17">
        <f>C106+(C106*0.03)</f>
        <v>5056.4025477211444</v>
      </c>
      <c r="E106" s="17">
        <f>C106/3250</f>
        <v>1.5105011344947408</v>
      </c>
      <c r="F106" s="28">
        <f>(D106-C106)/E106</f>
        <v>97.499999999999886</v>
      </c>
      <c r="G106" s="18"/>
      <c r="H106" s="18"/>
      <c r="I106" s="19">
        <f>E106*50/C106</f>
        <v>1.5384615384615385E-2</v>
      </c>
      <c r="J106" s="85"/>
    </row>
    <row r="107" spans="1:11" ht="13.5" thickBot="1">
      <c r="A107" s="105"/>
      <c r="B107" s="81">
        <f>B106+7</f>
        <v>43464</v>
      </c>
      <c r="C107" s="20">
        <f>D106+G106-H106</f>
        <v>5056.4025477211444</v>
      </c>
      <c r="D107" s="17">
        <f>C107+(C107*0.03)</f>
        <v>5208.094624152779</v>
      </c>
      <c r="E107" s="17">
        <f>C107/3250</f>
        <v>1.5558161685295828</v>
      </c>
      <c r="F107" s="28">
        <f>(D107-C107)/E107</f>
        <v>97.500000000000199</v>
      </c>
      <c r="G107" s="18"/>
      <c r="H107" s="80">
        <f>(D107-C94)*0.35</f>
        <v>544.33464422079226</v>
      </c>
      <c r="I107" s="19">
        <f>E107*50/C107</f>
        <v>1.5384615384615385E-2</v>
      </c>
      <c r="J107" s="85"/>
      <c r="K107" s="102" t="s">
        <v>49</v>
      </c>
    </row>
    <row r="108" spans="1:11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6"/>
    </row>
    <row r="109" spans="1:11">
      <c r="A109" s="103">
        <v>22</v>
      </c>
      <c r="B109" s="81">
        <f>B107+7</f>
        <v>43471</v>
      </c>
      <c r="C109" s="20">
        <f>D107+G107-H107</f>
        <v>4663.7599799319869</v>
      </c>
      <c r="D109" s="17">
        <f>C109+(C109*0.03)</f>
        <v>4803.6727793299469</v>
      </c>
      <c r="E109" s="17">
        <f>C109/3250</f>
        <v>1.4350030707483037</v>
      </c>
      <c r="F109" s="28">
        <f>(D109-C109)/E109</f>
        <v>97.500000000000298</v>
      </c>
      <c r="G109" s="18"/>
      <c r="H109" s="18"/>
      <c r="I109" s="19">
        <f>E109*50/C109</f>
        <v>1.5384615384615385E-2</v>
      </c>
      <c r="J109" s="85"/>
    </row>
    <row r="110" spans="1:11">
      <c r="A110" s="104"/>
      <c r="B110" s="81">
        <f>B109+7</f>
        <v>43478</v>
      </c>
      <c r="C110" s="20">
        <f>D109+G109-H109</f>
        <v>4803.6727793299469</v>
      </c>
      <c r="D110" s="17">
        <f>C110+(C110*0.03)</f>
        <v>4947.7829627098454</v>
      </c>
      <c r="E110" s="17">
        <f>C110/3250</f>
        <v>1.4780531628707529</v>
      </c>
      <c r="F110" s="28">
        <f>(D110-C110)/E110</f>
        <v>97.500000000000028</v>
      </c>
      <c r="G110" s="18"/>
      <c r="H110" s="18"/>
      <c r="I110" s="19">
        <f>E110*50/C110</f>
        <v>1.5384615384615385E-2</v>
      </c>
      <c r="J110" s="85"/>
    </row>
    <row r="111" spans="1:11">
      <c r="A111" s="104"/>
      <c r="B111" s="81">
        <f>B110+7</f>
        <v>43485</v>
      </c>
      <c r="C111" s="20">
        <f>D110+G110-H110</f>
        <v>4947.7829627098454</v>
      </c>
      <c r="D111" s="17">
        <f>C111+(C111*0.03)</f>
        <v>5096.2164515911409</v>
      </c>
      <c r="E111" s="17">
        <f>C111/3250</f>
        <v>1.5223947577568755</v>
      </c>
      <c r="F111" s="28">
        <f>(D111-C111)/E111</f>
        <v>97.500000000000085</v>
      </c>
      <c r="G111" s="18"/>
      <c r="H111" s="18"/>
      <c r="I111" s="19">
        <f>E111*50/C111</f>
        <v>1.5384615384615384E-2</v>
      </c>
      <c r="J111" s="85"/>
    </row>
    <row r="112" spans="1:11" ht="13" thickBot="1">
      <c r="A112" s="105"/>
      <c r="B112" s="81">
        <f>B111+7</f>
        <v>43492</v>
      </c>
      <c r="C112" s="20">
        <f>D111+G111-H111</f>
        <v>5096.2164515911409</v>
      </c>
      <c r="D112" s="17">
        <f>C112+(C112*0.03)</f>
        <v>5249.1029451388749</v>
      </c>
      <c r="E112" s="17">
        <f>C112/3250</f>
        <v>1.5680666004895818</v>
      </c>
      <c r="F112" s="28">
        <f>(D112-C112)/E112</f>
        <v>97.499999999999901</v>
      </c>
      <c r="G112" s="18"/>
      <c r="H112" s="80"/>
      <c r="I112" s="19">
        <f>E112*50/C112</f>
        <v>1.5384615384615384E-2</v>
      </c>
      <c r="J112" s="85"/>
    </row>
    <row r="113" spans="1:11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6"/>
    </row>
    <row r="114" spans="1:11">
      <c r="A114" s="103">
        <v>23</v>
      </c>
      <c r="B114" s="81">
        <f>B112+7</f>
        <v>43499</v>
      </c>
      <c r="C114" s="20">
        <f>D112+G112-H112</f>
        <v>5249.1029451388749</v>
      </c>
      <c r="D114" s="17">
        <f>C114+(C114*0.03)</f>
        <v>5406.576033493041</v>
      </c>
      <c r="E114" s="17">
        <f>C114/3250</f>
        <v>1.6151085985042692</v>
      </c>
      <c r="F114" s="28">
        <f>(D114-C114)/E114</f>
        <v>97.499999999999886</v>
      </c>
      <c r="G114" s="18"/>
      <c r="H114" s="18"/>
      <c r="I114" s="19">
        <f>E114*50/C114</f>
        <v>1.5384615384615385E-2</v>
      </c>
      <c r="J114" s="85"/>
    </row>
    <row r="115" spans="1:11">
      <c r="A115" s="104"/>
      <c r="B115" s="81">
        <f>B114+7</f>
        <v>43506</v>
      </c>
      <c r="C115" s="20">
        <f>D114+G114-H114</f>
        <v>5406.576033493041</v>
      </c>
      <c r="D115" s="17">
        <f>C115+(C115*0.03)</f>
        <v>5568.773314497832</v>
      </c>
      <c r="E115" s="17">
        <f>C115/3250</f>
        <v>1.6635618564593972</v>
      </c>
      <c r="F115" s="28">
        <f>(D115-C115)/E115</f>
        <v>97.499999999999844</v>
      </c>
      <c r="G115" s="18"/>
      <c r="H115" s="18"/>
      <c r="I115" s="19">
        <f>E115*50/C115</f>
        <v>1.5384615384615384E-2</v>
      </c>
      <c r="J115" s="85"/>
    </row>
    <row r="116" spans="1:11">
      <c r="A116" s="104"/>
      <c r="B116" s="81">
        <f>B115+7</f>
        <v>43513</v>
      </c>
      <c r="C116" s="20">
        <f>D115+G115-H115</f>
        <v>5568.773314497832</v>
      </c>
      <c r="D116" s="17">
        <f>C116+(C116*0.03)</f>
        <v>5735.836513932767</v>
      </c>
      <c r="E116" s="17">
        <f>C116/3250</f>
        <v>1.7134687121531791</v>
      </c>
      <c r="F116" s="28">
        <f>(D116-C116)/E116</f>
        <v>97.500000000000071</v>
      </c>
      <c r="G116" s="18"/>
      <c r="H116" s="18"/>
      <c r="I116" s="19">
        <f>E116*50/C116</f>
        <v>1.5384615384615385E-2</v>
      </c>
      <c r="J116" s="85"/>
    </row>
    <row r="117" spans="1:11" ht="13" thickBot="1">
      <c r="A117" s="105"/>
      <c r="B117" s="81">
        <f>B116+7</f>
        <v>43520</v>
      </c>
      <c r="C117" s="20">
        <f>D116+G116-H116</f>
        <v>5735.836513932767</v>
      </c>
      <c r="D117" s="17">
        <f>C117+(C117*0.03)</f>
        <v>5907.91160935075</v>
      </c>
      <c r="E117" s="17">
        <f>C117/3250</f>
        <v>1.7648727735177745</v>
      </c>
      <c r="F117" s="28">
        <f>(D117-C117)/E117</f>
        <v>97.499999999999986</v>
      </c>
      <c r="G117" s="18"/>
      <c r="H117" s="80"/>
      <c r="I117" s="19">
        <f>E117*50/C117</f>
        <v>1.5384615384615384E-2</v>
      </c>
      <c r="J117" s="85"/>
    </row>
    <row r="118" spans="1:11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6"/>
    </row>
    <row r="119" spans="1:11">
      <c r="A119" s="103">
        <v>24</v>
      </c>
      <c r="B119" s="81">
        <f>B117+7</f>
        <v>43527</v>
      </c>
      <c r="C119" s="20">
        <f>D117+G117-H117</f>
        <v>5907.91160935075</v>
      </c>
      <c r="D119" s="17">
        <f>C119+(C119*0.03)</f>
        <v>6085.1489576312724</v>
      </c>
      <c r="E119" s="17">
        <f>C119/3250</f>
        <v>1.8178189567233076</v>
      </c>
      <c r="F119" s="28">
        <f>(D119-C119)/E119</f>
        <v>97.499999999999943</v>
      </c>
      <c r="G119" s="18"/>
      <c r="H119" s="18"/>
      <c r="I119" s="19">
        <f>E119*50/C119</f>
        <v>1.5384615384615384E-2</v>
      </c>
      <c r="J119" s="85"/>
    </row>
    <row r="120" spans="1:11">
      <c r="A120" s="104"/>
      <c r="B120" s="81">
        <f>B119+7</f>
        <v>43534</v>
      </c>
      <c r="C120" s="20">
        <f>D119+G119-H119</f>
        <v>6085.1489576312724</v>
      </c>
      <c r="D120" s="17">
        <f>C120+(C120*0.03)</f>
        <v>6267.7034263602109</v>
      </c>
      <c r="E120" s="17">
        <f>C120/3250</f>
        <v>1.872353525425007</v>
      </c>
      <c r="F120" s="28">
        <f>(D120-C120)/E120</f>
        <v>97.500000000000142</v>
      </c>
      <c r="G120" s="18"/>
      <c r="H120" s="18"/>
      <c r="I120" s="19">
        <f>E120*50/C120</f>
        <v>1.5384615384615385E-2</v>
      </c>
      <c r="J120" s="85"/>
    </row>
    <row r="121" spans="1:11">
      <c r="A121" s="104"/>
      <c r="B121" s="81">
        <f>B120+7</f>
        <v>43541</v>
      </c>
      <c r="C121" s="20">
        <f>D120+G120-H120</f>
        <v>6267.7034263602109</v>
      </c>
      <c r="D121" s="17">
        <f>C121+(C121*0.03)</f>
        <v>6455.7345291510173</v>
      </c>
      <c r="E121" s="17">
        <f>C121/3250</f>
        <v>1.9285241311877572</v>
      </c>
      <c r="F121" s="28">
        <f>(D121-C121)/E121</f>
        <v>97.500000000000071</v>
      </c>
      <c r="G121" s="18"/>
      <c r="H121" s="18"/>
      <c r="I121" s="19">
        <f>E121*50/C121</f>
        <v>1.5384615384615385E-2</v>
      </c>
      <c r="J121" s="85"/>
    </row>
    <row r="122" spans="1:11" ht="13.5" thickBot="1">
      <c r="A122" s="105"/>
      <c r="B122" s="81">
        <f>B121+7</f>
        <v>43548</v>
      </c>
      <c r="C122" s="20">
        <f>D121+G121-H121</f>
        <v>6455.7345291510173</v>
      </c>
      <c r="D122" s="17">
        <f>C122+(C122*0.03)</f>
        <v>6649.4065650255479</v>
      </c>
      <c r="E122" s="17">
        <f>C122/3250</f>
        <v>1.98637985512339</v>
      </c>
      <c r="F122" s="28">
        <f>(D122-C122)/E122</f>
        <v>97.500000000000028</v>
      </c>
      <c r="G122" s="18"/>
      <c r="H122" s="80">
        <f>(D122-C109)*0.35</f>
        <v>694.9763047827463</v>
      </c>
      <c r="I122" s="19">
        <f>E122*50/C122</f>
        <v>1.5384615384615384E-2</v>
      </c>
      <c r="J122" s="85"/>
      <c r="K122" s="102" t="s">
        <v>49</v>
      </c>
    </row>
    <row r="123" spans="1:11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6"/>
    </row>
    <row r="124" spans="1:11">
      <c r="A124" s="103">
        <v>25</v>
      </c>
      <c r="B124" s="81">
        <f>B122+7</f>
        <v>43555</v>
      </c>
      <c r="C124" s="20">
        <f>D122+G122-H122</f>
        <v>5954.4302602428015</v>
      </c>
      <c r="D124" s="17">
        <f>C124+(C124*0.03)</f>
        <v>6133.0631680500856</v>
      </c>
      <c r="E124" s="17">
        <f>C124/3250</f>
        <v>1.8321323877670159</v>
      </c>
      <c r="F124" s="28">
        <f>(D124-C124)/E124</f>
        <v>97.499999999999986</v>
      </c>
      <c r="G124" s="17"/>
      <c r="H124" s="18"/>
      <c r="I124" s="19">
        <f>E124*50/C124</f>
        <v>1.5384615384615385E-2</v>
      </c>
      <c r="J124" s="85"/>
    </row>
    <row r="125" spans="1:11">
      <c r="A125" s="104"/>
      <c r="B125" s="81">
        <f>B124+7</f>
        <v>43562</v>
      </c>
      <c r="C125" s="20">
        <f>D124+G124-H124</f>
        <v>6133.0631680500856</v>
      </c>
      <c r="D125" s="17">
        <f>C125+(C125*0.03)</f>
        <v>6317.0550630915877</v>
      </c>
      <c r="E125" s="17">
        <f>C125/3250</f>
        <v>1.8870963594000263</v>
      </c>
      <c r="F125" s="28">
        <f>(D125-C125)/E125</f>
        <v>97.499999999999801</v>
      </c>
      <c r="G125" s="17"/>
      <c r="H125" s="18"/>
      <c r="I125" s="19">
        <f>E125*50/C125</f>
        <v>1.5384615384615385E-2</v>
      </c>
      <c r="J125" s="85"/>
    </row>
    <row r="126" spans="1:11">
      <c r="A126" s="104"/>
      <c r="B126" s="81">
        <f>B125+7</f>
        <v>43569</v>
      </c>
      <c r="C126" s="20">
        <f>D125+G125-H125</f>
        <v>6317.0550630915877</v>
      </c>
      <c r="D126" s="17">
        <f>C126+(C126*0.03)</f>
        <v>6506.5667149843357</v>
      </c>
      <c r="E126" s="17">
        <f>C126/3250</f>
        <v>1.943709250182027</v>
      </c>
      <c r="F126" s="28">
        <f>(D126-C126)/E126</f>
        <v>97.500000000000171</v>
      </c>
      <c r="G126" s="17"/>
      <c r="H126" s="18"/>
      <c r="I126" s="19">
        <f>E126*50/C126</f>
        <v>1.5384615384615385E-2</v>
      </c>
      <c r="J126" s="85"/>
    </row>
    <row r="127" spans="1:11" ht="13" thickBot="1">
      <c r="A127" s="105"/>
      <c r="B127" s="81">
        <f>B126+7</f>
        <v>43576</v>
      </c>
      <c r="C127" s="20">
        <f>D126+G126-H126</f>
        <v>6506.5667149843357</v>
      </c>
      <c r="D127" s="17">
        <f>C127+(C127*0.03)</f>
        <v>6701.7637164338657</v>
      </c>
      <c r="E127" s="17">
        <f>C127/3250</f>
        <v>2.0020205276874878</v>
      </c>
      <c r="F127" s="28">
        <f>(D127-C127)/E127</f>
        <v>97.499999999999986</v>
      </c>
      <c r="G127" s="18"/>
      <c r="H127" s="80"/>
      <c r="I127" s="19">
        <f>E127*50/C127</f>
        <v>1.5384615384615384E-2</v>
      </c>
      <c r="J127" s="85"/>
    </row>
    <row r="128" spans="1:11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6"/>
    </row>
    <row r="129" spans="1:11">
      <c r="A129" s="103">
        <v>26</v>
      </c>
      <c r="B129" s="81">
        <f>B127+7</f>
        <v>43583</v>
      </c>
      <c r="C129" s="20">
        <f>D127+G127-H127</f>
        <v>6701.7637164338657</v>
      </c>
      <c r="D129" s="17">
        <f>C129+(C129*0.03)</f>
        <v>6902.8166279268817</v>
      </c>
      <c r="E129" s="17">
        <f>C129/3250</f>
        <v>2.0620811435181126</v>
      </c>
      <c r="F129" s="28">
        <f>(D129-C129)/E129</f>
        <v>97.499999999999972</v>
      </c>
      <c r="G129" s="18"/>
      <c r="H129" s="18"/>
      <c r="I129" s="19">
        <f>E129*50/C129</f>
        <v>1.5384615384615384E-2</v>
      </c>
      <c r="J129" s="85"/>
    </row>
    <row r="130" spans="1:11">
      <c r="A130" s="104"/>
      <c r="B130" s="81">
        <f>B129+7</f>
        <v>43590</v>
      </c>
      <c r="C130" s="20">
        <f>D129+G129-H129</f>
        <v>6902.8166279268817</v>
      </c>
      <c r="D130" s="17">
        <f>C130+(C130*0.03)</f>
        <v>7109.9011267646883</v>
      </c>
      <c r="E130" s="17">
        <f>C130/3250</f>
        <v>2.1239435778236557</v>
      </c>
      <c r="F130" s="28">
        <f>(D130-C130)/E130</f>
        <v>97.500000000000114</v>
      </c>
      <c r="G130" s="18"/>
      <c r="H130" s="18"/>
      <c r="I130" s="19">
        <f>E130*50/C130</f>
        <v>1.5384615384615384E-2</v>
      </c>
      <c r="J130" s="85"/>
    </row>
    <row r="131" spans="1:11">
      <c r="A131" s="104"/>
      <c r="B131" s="81">
        <f>B130+7</f>
        <v>43597</v>
      </c>
      <c r="C131" s="20">
        <f>D130+G130-H130</f>
        <v>7109.9011267646883</v>
      </c>
      <c r="D131" s="17">
        <f>C131+(C131*0.03)</f>
        <v>7323.1981605676292</v>
      </c>
      <c r="E131" s="17">
        <f>C131/3250</f>
        <v>2.1876618851583656</v>
      </c>
      <c r="F131" s="28">
        <f>(D131-C131)/E131</f>
        <v>97.500000000000099</v>
      </c>
      <c r="G131" s="18"/>
      <c r="H131" s="18"/>
      <c r="I131" s="19">
        <f>E131*50/C131</f>
        <v>1.5384615384615384E-2</v>
      </c>
      <c r="J131" s="85"/>
    </row>
    <row r="132" spans="1:11" ht="13" thickBot="1">
      <c r="A132" s="105"/>
      <c r="B132" s="81">
        <f>B131+7</f>
        <v>43604</v>
      </c>
      <c r="C132" s="20">
        <f>D131+G131-H131</f>
        <v>7323.1981605676292</v>
      </c>
      <c r="D132" s="17">
        <f>C132+(C132*0.03)</f>
        <v>7542.8941053846584</v>
      </c>
      <c r="E132" s="17">
        <f>C132/3250</f>
        <v>2.2532917417131166</v>
      </c>
      <c r="F132" s="28">
        <f>(D132-C132)/E132</f>
        <v>97.500000000000128</v>
      </c>
      <c r="G132" s="18"/>
      <c r="H132" s="80"/>
      <c r="I132" s="19">
        <f>E132*50/C132</f>
        <v>1.5384615384615384E-2</v>
      </c>
      <c r="J132" s="85"/>
    </row>
    <row r="133" spans="1:11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6"/>
    </row>
    <row r="134" spans="1:11">
      <c r="A134" s="103">
        <v>27</v>
      </c>
      <c r="B134" s="81">
        <f>B132+7</f>
        <v>43611</v>
      </c>
      <c r="C134" s="20">
        <f>D132+G132-H132</f>
        <v>7542.8941053846584</v>
      </c>
      <c r="D134" s="17">
        <f>C134+(C134*0.03)</f>
        <v>7769.1809285461977</v>
      </c>
      <c r="E134" s="17">
        <f>C134/3250</f>
        <v>2.3208904939645101</v>
      </c>
      <c r="F134" s="28">
        <f>(D134-C134)/E134</f>
        <v>97.499999999999844</v>
      </c>
      <c r="G134" s="18"/>
      <c r="H134" s="18"/>
      <c r="I134" s="19">
        <f>E134*50/C134</f>
        <v>1.5384615384615384E-2</v>
      </c>
      <c r="J134" s="85"/>
    </row>
    <row r="135" spans="1:11">
      <c r="A135" s="104"/>
      <c r="B135" s="81">
        <f>B134+7</f>
        <v>43618</v>
      </c>
      <c r="C135" s="20">
        <f>D134+G134-H134</f>
        <v>7769.1809285461977</v>
      </c>
      <c r="D135" s="17">
        <f>C135+(C135*0.03)</f>
        <v>8002.2563564025841</v>
      </c>
      <c r="E135" s="17">
        <f>C135/3250</f>
        <v>2.3905172087834456</v>
      </c>
      <c r="F135" s="28">
        <f>(D135-C135)/E135</f>
        <v>97.500000000000156</v>
      </c>
      <c r="G135" s="18"/>
      <c r="H135" s="18"/>
      <c r="I135" s="19">
        <f>E135*50/C135</f>
        <v>1.5384615384615385E-2</v>
      </c>
      <c r="J135" s="85"/>
    </row>
    <row r="136" spans="1:11">
      <c r="A136" s="104"/>
      <c r="B136" s="81">
        <f>B135+7</f>
        <v>43625</v>
      </c>
      <c r="C136" s="20">
        <f>D135+G135-H135</f>
        <v>8002.2563564025841</v>
      </c>
      <c r="D136" s="17">
        <f>C136+(C136*0.03)</f>
        <v>8242.3240470946621</v>
      </c>
      <c r="E136" s="17">
        <f>C136/3250</f>
        <v>2.4622327250469489</v>
      </c>
      <c r="F136" s="28">
        <f>(D136-C136)/E136</f>
        <v>97.500000000000213</v>
      </c>
      <c r="G136" s="18"/>
      <c r="H136" s="18"/>
      <c r="I136" s="19">
        <f>E136*50/C136</f>
        <v>1.5384615384615384E-2</v>
      </c>
      <c r="J136" s="85"/>
    </row>
    <row r="137" spans="1:11" ht="13.5" thickBot="1">
      <c r="A137" s="105"/>
      <c r="B137" s="81">
        <f>B136+7</f>
        <v>43632</v>
      </c>
      <c r="C137" s="20">
        <f>D136+G136-H136</f>
        <v>8242.3240470946621</v>
      </c>
      <c r="D137" s="17">
        <f>C137+(C137*0.03)</f>
        <v>8489.5937685075023</v>
      </c>
      <c r="E137" s="17">
        <f>C137/3250</f>
        <v>2.5360997067983577</v>
      </c>
      <c r="F137" s="28">
        <f>(D137-C137)/E137</f>
        <v>97.500000000000142</v>
      </c>
      <c r="G137" s="18"/>
      <c r="H137" s="80">
        <f>(D137-C124)*0.35</f>
        <v>887.30722789264519</v>
      </c>
      <c r="I137" s="19">
        <f>E137*50/C137</f>
        <v>1.5384615384615385E-2</v>
      </c>
      <c r="J137" s="85"/>
      <c r="K137" s="102" t="s">
        <v>49</v>
      </c>
    </row>
    <row r="138" spans="1:11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89"/>
    </row>
    <row r="139" spans="1:11">
      <c r="A139" s="103">
        <v>28</v>
      </c>
      <c r="B139" s="81">
        <f>B137+7</f>
        <v>43639</v>
      </c>
      <c r="C139" s="20">
        <f>D137+G137-H137</f>
        <v>7602.2865406148576</v>
      </c>
      <c r="D139" s="17">
        <f>C139+(C139*0.03)</f>
        <v>7830.3551368333037</v>
      </c>
      <c r="E139" s="17">
        <f>C139/3250</f>
        <v>2.3391650894199563</v>
      </c>
      <c r="F139" s="28">
        <f>(D139-C139)/E139</f>
        <v>97.500000000000171</v>
      </c>
      <c r="G139" s="18"/>
      <c r="H139" s="18"/>
      <c r="I139" s="19">
        <f>E139*50/C139</f>
        <v>1.5384615384615385E-2</v>
      </c>
      <c r="J139" s="85"/>
    </row>
    <row r="140" spans="1:11">
      <c r="A140" s="104"/>
      <c r="B140" s="81">
        <f>B139+7</f>
        <v>43646</v>
      </c>
      <c r="C140" s="20">
        <f>D139+G139-H139</f>
        <v>7830.3551368333037</v>
      </c>
      <c r="D140" s="17">
        <f>C140+(C140*0.03)</f>
        <v>8065.2657909383024</v>
      </c>
      <c r="E140" s="17">
        <f>C140/3250</f>
        <v>2.409340042102555</v>
      </c>
      <c r="F140" s="28">
        <f>(D140-C140)/E140</f>
        <v>97.499999999999815</v>
      </c>
      <c r="G140" s="18"/>
      <c r="H140" s="18"/>
      <c r="I140" s="19">
        <f>E140*50/C140</f>
        <v>1.5384615384615384E-2</v>
      </c>
      <c r="J140" s="85"/>
    </row>
    <row r="141" spans="1:11">
      <c r="A141" s="104"/>
      <c r="B141" s="81">
        <f>B140+7</f>
        <v>43653</v>
      </c>
      <c r="C141" s="20">
        <f>D140+G140-H140</f>
        <v>8065.2657909383024</v>
      </c>
      <c r="D141" s="17">
        <f>C141+(C141*0.03)</f>
        <v>8307.2237646664507</v>
      </c>
      <c r="E141" s="17">
        <f>C141/3250</f>
        <v>2.4816202433656316</v>
      </c>
      <c r="F141" s="28">
        <f>(D141-C141)/E141</f>
        <v>97.499999999999687</v>
      </c>
      <c r="G141" s="18"/>
      <c r="H141" s="18"/>
      <c r="I141" s="19">
        <f>E141*50/C141</f>
        <v>1.5384615384615384E-2</v>
      </c>
      <c r="J141" s="85"/>
    </row>
    <row r="142" spans="1:11" ht="13" thickBot="1">
      <c r="A142" s="105"/>
      <c r="B142" s="81">
        <f>B141+7</f>
        <v>43660</v>
      </c>
      <c r="C142" s="20">
        <f>D141+G141-H141</f>
        <v>8307.2237646664507</v>
      </c>
      <c r="D142" s="17">
        <f>C142+(C142*0.03)</f>
        <v>8556.4404776064439</v>
      </c>
      <c r="E142" s="17">
        <f>C142/3250</f>
        <v>2.5560688506666001</v>
      </c>
      <c r="F142" s="28">
        <f>(D142-C142)/E142</f>
        <v>97.499999999999858</v>
      </c>
      <c r="G142" s="18"/>
      <c r="H142" s="80"/>
      <c r="I142" s="19">
        <f>E142*50/C142</f>
        <v>1.5384615384615384E-2</v>
      </c>
      <c r="J142" s="85"/>
    </row>
    <row r="143" spans="1:11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6"/>
    </row>
    <row r="144" spans="1:11">
      <c r="A144" s="103">
        <v>29</v>
      </c>
      <c r="B144" s="81">
        <f>B142+7</f>
        <v>43667</v>
      </c>
      <c r="C144" s="20">
        <f>D142+G142-H142</f>
        <v>8556.4404776064439</v>
      </c>
      <c r="D144" s="17">
        <f>C144+(C144*0.03)</f>
        <v>8813.1336919346377</v>
      </c>
      <c r="E144" s="17">
        <f>C144/3250</f>
        <v>2.6327509161865983</v>
      </c>
      <c r="F144" s="28">
        <f>(D144-C144)/E144</f>
        <v>97.500000000000171</v>
      </c>
      <c r="G144" s="18"/>
      <c r="H144" s="18"/>
      <c r="I144" s="19">
        <f>E144*50/C144</f>
        <v>1.5384615384615385E-2</v>
      </c>
      <c r="J144" s="85"/>
    </row>
    <row r="145" spans="1:11">
      <c r="A145" s="104"/>
      <c r="B145" s="81">
        <f>B144+7</f>
        <v>43674</v>
      </c>
      <c r="C145" s="20">
        <f>D144+G144-H144</f>
        <v>8813.1336919346377</v>
      </c>
      <c r="D145" s="17">
        <f>C145+(C145*0.03)</f>
        <v>9077.527702692676</v>
      </c>
      <c r="E145" s="17">
        <f>C145/3250</f>
        <v>2.711733443672196</v>
      </c>
      <c r="F145" s="28">
        <f>(D145-C145)/E145</f>
        <v>97.499999999999716</v>
      </c>
      <c r="G145" s="18"/>
      <c r="H145" s="18"/>
      <c r="I145" s="19">
        <f>E145*50/C145</f>
        <v>1.5384615384615384E-2</v>
      </c>
      <c r="J145" s="85"/>
    </row>
    <row r="146" spans="1:11">
      <c r="A146" s="104"/>
      <c r="B146" s="81">
        <f>B145+7</f>
        <v>43681</v>
      </c>
      <c r="C146" s="20">
        <f>D145+G145-H145</f>
        <v>9077.527702692676</v>
      </c>
      <c r="D146" s="17">
        <f>C146+(C146*0.03)</f>
        <v>9349.8535337734556</v>
      </c>
      <c r="E146" s="17">
        <f>C146/3250</f>
        <v>2.7930854469823618</v>
      </c>
      <c r="F146" s="28">
        <f>(D146-C146)/E146</f>
        <v>97.499999999999758</v>
      </c>
      <c r="G146" s="18"/>
      <c r="H146" s="18"/>
      <c r="I146" s="19">
        <f>E146*50/C146</f>
        <v>1.5384615384615384E-2</v>
      </c>
      <c r="J146" s="85"/>
    </row>
    <row r="147" spans="1:11" ht="13" thickBot="1">
      <c r="A147" s="105"/>
      <c r="B147" s="81">
        <f>B146+7</f>
        <v>43688</v>
      </c>
      <c r="C147" s="20">
        <f>D146+G146-H146</f>
        <v>9349.8535337734556</v>
      </c>
      <c r="D147" s="17">
        <f>C147+(C147*0.03)</f>
        <v>9630.3491397866601</v>
      </c>
      <c r="E147" s="17">
        <f>C147/3250</f>
        <v>2.8768780103918323</v>
      </c>
      <c r="F147" s="28">
        <f>(D147-C147)/E147</f>
        <v>97.500000000000284</v>
      </c>
      <c r="G147" s="18"/>
      <c r="H147" s="80"/>
      <c r="I147" s="19">
        <f>E147*50/C147</f>
        <v>1.5384615384615384E-2</v>
      </c>
      <c r="J147" s="85"/>
    </row>
    <row r="148" spans="1:11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6"/>
    </row>
    <row r="149" spans="1:11">
      <c r="A149" s="103">
        <v>30</v>
      </c>
      <c r="B149" s="81">
        <f>B147+7</f>
        <v>43695</v>
      </c>
      <c r="C149" s="20">
        <f>D147+G147-H147</f>
        <v>9630.3491397866601</v>
      </c>
      <c r="D149" s="17">
        <f>C149+(C149*0.03)</f>
        <v>9919.259613980259</v>
      </c>
      <c r="E149" s="17">
        <f>C149/3250</f>
        <v>2.9631843507035875</v>
      </c>
      <c r="F149" s="28">
        <f>(D149-C149)/E149</f>
        <v>97.499999999999716</v>
      </c>
      <c r="G149" s="18"/>
      <c r="H149" s="18"/>
      <c r="I149" s="19">
        <f>E149*50/C149</f>
        <v>1.5384615384615384E-2</v>
      </c>
      <c r="J149" s="85"/>
    </row>
    <row r="150" spans="1:11">
      <c r="A150" s="104"/>
      <c r="B150" s="81">
        <f>B149+7</f>
        <v>43702</v>
      </c>
      <c r="C150" s="20">
        <f>D149+G149-H149</f>
        <v>9919.259613980259</v>
      </c>
      <c r="D150" s="17">
        <f>C150+(C150*0.03)</f>
        <v>10216.837402399668</v>
      </c>
      <c r="E150" s="17">
        <f>C150/3250</f>
        <v>3.052079881224695</v>
      </c>
      <c r="F150" s="28">
        <f>(D150-C150)/E150</f>
        <v>97.500000000000256</v>
      </c>
      <c r="G150" s="18"/>
      <c r="H150" s="18"/>
      <c r="I150" s="19">
        <f>E150*50/C150</f>
        <v>1.5384615384615384E-2</v>
      </c>
      <c r="J150" s="85"/>
    </row>
    <row r="151" spans="1:11">
      <c r="A151" s="104"/>
      <c r="B151" s="81">
        <f>B150+7</f>
        <v>43709</v>
      </c>
      <c r="C151" s="20">
        <f>D150+G150-H150</f>
        <v>10216.837402399668</v>
      </c>
      <c r="D151" s="17">
        <f>C151+(C151*0.03)</f>
        <v>10523.342524471658</v>
      </c>
      <c r="E151" s="17">
        <f>C151/3250</f>
        <v>3.1436422776614363</v>
      </c>
      <c r="F151" s="28">
        <f>(D151-C151)/E151</f>
        <v>97.500000000000185</v>
      </c>
      <c r="G151" s="18"/>
      <c r="H151" s="18"/>
      <c r="I151" s="19">
        <f>E151*50/C151</f>
        <v>1.5384615384615385E-2</v>
      </c>
      <c r="J151" s="85"/>
    </row>
    <row r="152" spans="1:11" ht="13.5" thickBot="1">
      <c r="A152" s="105"/>
      <c r="B152" s="81">
        <f>B151+7</f>
        <v>43716</v>
      </c>
      <c r="C152" s="20">
        <f>D151+G151-H151</f>
        <v>10523.342524471658</v>
      </c>
      <c r="D152" s="17">
        <f>C152+(C152*0.03)</f>
        <v>10839.042800205807</v>
      </c>
      <c r="E152" s="17">
        <f>C152/3250</f>
        <v>3.2379515459912795</v>
      </c>
      <c r="F152" s="28">
        <f>(D152-C152)/E152</f>
        <v>97.499999999999716</v>
      </c>
      <c r="G152" s="18"/>
      <c r="H152" s="80">
        <f>(D152-C139)*0.35</f>
        <v>1132.8646908568321</v>
      </c>
      <c r="I152" s="19">
        <f>E152*50/C152</f>
        <v>1.5384615384615385E-2</v>
      </c>
      <c r="J152" s="85"/>
      <c r="K152" s="102" t="s">
        <v>49</v>
      </c>
    </row>
    <row r="153" spans="1:11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6"/>
    </row>
    <row r="154" spans="1:11">
      <c r="A154" s="103">
        <v>31</v>
      </c>
      <c r="B154" s="81">
        <f>B152+7</f>
        <v>43723</v>
      </c>
      <c r="C154" s="20">
        <f>D152+G152-H152</f>
        <v>9706.1781093489753</v>
      </c>
      <c r="D154" s="17">
        <f>C154+(C154*0.03)</f>
        <v>9997.3634526294445</v>
      </c>
      <c r="E154" s="17">
        <f>C154/3250</f>
        <v>2.9865163413381461</v>
      </c>
      <c r="F154" s="28">
        <f>(D154-C154)/E154</f>
        <v>97.499999999999972</v>
      </c>
      <c r="G154" s="17"/>
      <c r="H154" s="79"/>
      <c r="I154" s="19">
        <f>E154*50/C154</f>
        <v>1.5384615384615385E-2</v>
      </c>
      <c r="J154" s="85"/>
    </row>
    <row r="155" spans="1:11">
      <c r="A155" s="104"/>
      <c r="B155" s="81">
        <f>B154+7</f>
        <v>43730</v>
      </c>
      <c r="C155" s="20">
        <f>D154+G154-H154</f>
        <v>9997.3634526294445</v>
      </c>
      <c r="D155" s="17">
        <f>C155+(C155*0.03)</f>
        <v>10297.284356208327</v>
      </c>
      <c r="E155" s="17">
        <f>C155/3250</f>
        <v>3.0761118315782907</v>
      </c>
      <c r="F155" s="28">
        <f>(D155-C155)/E155</f>
        <v>97.499999999999773</v>
      </c>
      <c r="G155" s="17"/>
      <c r="H155" s="79"/>
      <c r="I155" s="19">
        <f>E155*50/C155</f>
        <v>1.5384615384615385E-2</v>
      </c>
      <c r="J155" s="85"/>
    </row>
    <row r="156" spans="1:11">
      <c r="A156" s="104"/>
      <c r="B156" s="81">
        <f>B155+7</f>
        <v>43737</v>
      </c>
      <c r="C156" s="20">
        <f>D155+G155-H155</f>
        <v>10297.284356208327</v>
      </c>
      <c r="D156" s="17">
        <f>C156+(C156*0.03)</f>
        <v>10606.202886894576</v>
      </c>
      <c r="E156" s="17">
        <f>C156/3250</f>
        <v>3.1683951865256392</v>
      </c>
      <c r="F156" s="28">
        <f>(D156-C156)/E156</f>
        <v>97.499999999999787</v>
      </c>
      <c r="G156" s="17"/>
      <c r="H156" s="79"/>
      <c r="I156" s="19">
        <f>E156*50/C156</f>
        <v>1.5384615384615385E-2</v>
      </c>
      <c r="J156" s="85"/>
    </row>
    <row r="157" spans="1:11" ht="13" thickBot="1">
      <c r="A157" s="105"/>
      <c r="B157" s="81">
        <f>B156+7</f>
        <v>43744</v>
      </c>
      <c r="C157" s="20">
        <f>D156+G156-H156</f>
        <v>10606.202886894576</v>
      </c>
      <c r="D157" s="17">
        <f>C157+(C157*0.03)</f>
        <v>10924.388973501413</v>
      </c>
      <c r="E157" s="17">
        <f>C157/3250</f>
        <v>3.2634470421214079</v>
      </c>
      <c r="F157" s="28">
        <f>(D157-C157)/E157</f>
        <v>97.49999999999973</v>
      </c>
      <c r="G157" s="18"/>
      <c r="H157" s="80"/>
      <c r="I157" s="19">
        <f>E157*50/C157</f>
        <v>1.5384615384615385E-2</v>
      </c>
      <c r="J157" s="85"/>
    </row>
    <row r="158" spans="1:11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6"/>
    </row>
    <row r="159" spans="1:11">
      <c r="A159" s="103">
        <v>32</v>
      </c>
      <c r="B159" s="81">
        <f>B157+7</f>
        <v>43751</v>
      </c>
      <c r="C159" s="20">
        <f>D157+G157-H157</f>
        <v>10924.388973501413</v>
      </c>
      <c r="D159" s="17">
        <f>C159+(C159*0.03)</f>
        <v>11252.120642706455</v>
      </c>
      <c r="E159" s="17">
        <f>C159/3250</f>
        <v>3.3613504533850502</v>
      </c>
      <c r="F159" s="28">
        <f>(D159-C159)/E159</f>
        <v>97.500000000000071</v>
      </c>
      <c r="G159" s="18"/>
      <c r="H159" s="18"/>
      <c r="I159" s="19">
        <f>E159*50/C159</f>
        <v>1.5384615384615387E-2</v>
      </c>
      <c r="J159" s="85"/>
    </row>
    <row r="160" spans="1:11">
      <c r="A160" s="104"/>
      <c r="B160" s="81">
        <f>B159+7</f>
        <v>43758</v>
      </c>
      <c r="C160" s="20">
        <f>D159+G159-H159</f>
        <v>11252.120642706455</v>
      </c>
      <c r="D160" s="17">
        <f>C160+(C160*0.03)</f>
        <v>11589.68426198765</v>
      </c>
      <c r="E160" s="17">
        <f>C160/3250</f>
        <v>3.4621909669866016</v>
      </c>
      <c r="F160" s="28">
        <f>(D160-C160)/E160</f>
        <v>97.500000000000213</v>
      </c>
      <c r="G160" s="18"/>
      <c r="H160" s="18"/>
      <c r="I160" s="19">
        <f>E160*50/C160</f>
        <v>1.5384615384615385E-2</v>
      </c>
      <c r="J160" s="85"/>
    </row>
    <row r="161" spans="1:11">
      <c r="A161" s="104"/>
      <c r="B161" s="81">
        <f>B160+7</f>
        <v>43765</v>
      </c>
      <c r="C161" s="20">
        <f>D160+G160-H160</f>
        <v>11589.68426198765</v>
      </c>
      <c r="D161" s="17">
        <f>C161+(C161*0.03)</f>
        <v>11937.374789847279</v>
      </c>
      <c r="E161" s="17">
        <f>C161/3250</f>
        <v>3.5660566959961999</v>
      </c>
      <c r="F161" s="28">
        <f>(D161-C161)/E161</f>
        <v>97.500000000000028</v>
      </c>
      <c r="G161" s="18"/>
      <c r="H161" s="18"/>
      <c r="I161" s="19">
        <f>E161*50/C161</f>
        <v>1.5384615384615385E-2</v>
      </c>
      <c r="J161" s="85"/>
    </row>
    <row r="162" spans="1:11" ht="13" thickBot="1">
      <c r="A162" s="105"/>
      <c r="B162" s="81">
        <f>B161+7</f>
        <v>43772</v>
      </c>
      <c r="C162" s="20">
        <f>D161+G161-H161</f>
        <v>11937.374789847279</v>
      </c>
      <c r="D162" s="17">
        <f>C162+(C162*0.03)</f>
        <v>12295.496033542699</v>
      </c>
      <c r="E162" s="17">
        <f>C162/3250</f>
        <v>3.6730383968760858</v>
      </c>
      <c r="F162" s="28">
        <f>(D162-C162)/E162</f>
        <v>97.500000000000242</v>
      </c>
      <c r="G162" s="18"/>
      <c r="H162" s="80"/>
      <c r="I162" s="19">
        <f>E162*50/C162</f>
        <v>1.5384615384615384E-2</v>
      </c>
      <c r="J162" s="85"/>
    </row>
    <row r="163" spans="1:11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6"/>
    </row>
    <row r="164" spans="1:11">
      <c r="A164" s="103">
        <v>33</v>
      </c>
      <c r="B164" s="81">
        <f>B162+7</f>
        <v>43779</v>
      </c>
      <c r="C164" s="20">
        <f>D162+G162-H162</f>
        <v>12295.496033542699</v>
      </c>
      <c r="D164" s="17">
        <f>C164+(C164*0.03)</f>
        <v>12664.360914548979</v>
      </c>
      <c r="E164" s="17">
        <f>C164/3250</f>
        <v>3.7832295487823688</v>
      </c>
      <c r="F164" s="28">
        <f>(D164-C164)/E164</f>
        <v>97.499999999999872</v>
      </c>
      <c r="G164" s="18"/>
      <c r="H164" s="18"/>
      <c r="I164" s="19">
        <f>E164*50/C164</f>
        <v>1.5384615384615385E-2</v>
      </c>
      <c r="J164" s="85"/>
    </row>
    <row r="165" spans="1:11">
      <c r="A165" s="104"/>
      <c r="B165" s="81">
        <f>B164+7</f>
        <v>43786</v>
      </c>
      <c r="C165" s="20">
        <f>D164+G164-H164</f>
        <v>12664.360914548979</v>
      </c>
      <c r="D165" s="17">
        <f>C165+(C165*0.03)</f>
        <v>13044.291741985449</v>
      </c>
      <c r="E165" s="17">
        <f>C165/3250</f>
        <v>3.8967264352458395</v>
      </c>
      <c r="F165" s="28">
        <f>(D165-C165)/E165</f>
        <v>97.500000000000242</v>
      </c>
      <c r="G165" s="18"/>
      <c r="H165" s="18"/>
      <c r="I165" s="19">
        <f>E165*50/C165</f>
        <v>1.5384615384615385E-2</v>
      </c>
      <c r="J165" s="85"/>
    </row>
    <row r="166" spans="1:11">
      <c r="A166" s="104"/>
      <c r="B166" s="81">
        <f>B165+7</f>
        <v>43793</v>
      </c>
      <c r="C166" s="20">
        <f>D165+G165-H165</f>
        <v>13044.291741985449</v>
      </c>
      <c r="D166" s="17">
        <f>C166+(C166*0.03)</f>
        <v>13435.620494245013</v>
      </c>
      <c r="E166" s="17">
        <f>C166/3250</f>
        <v>4.0136282283032152</v>
      </c>
      <c r="F166" s="28">
        <f>(D166-C166)/E166</f>
        <v>97.500000000000071</v>
      </c>
      <c r="G166" s="18"/>
      <c r="H166" s="18"/>
      <c r="I166" s="19">
        <f>E166*50/C166</f>
        <v>1.5384615384615385E-2</v>
      </c>
      <c r="J166" s="85"/>
    </row>
    <row r="167" spans="1:11" ht="13.5" thickBot="1">
      <c r="A167" s="105"/>
      <c r="B167" s="81">
        <f>B166+7</f>
        <v>43800</v>
      </c>
      <c r="C167" s="20">
        <f>D166+G166-H166</f>
        <v>13435.620494245013</v>
      </c>
      <c r="D167" s="17">
        <f>C167+(C167*0.03)</f>
        <v>13838.689109072364</v>
      </c>
      <c r="E167" s="17">
        <f>C167/3250</f>
        <v>4.1340370751523121</v>
      </c>
      <c r="F167" s="28">
        <f>(D167-C167)/E167</f>
        <v>97.500000000000085</v>
      </c>
      <c r="G167" s="18"/>
      <c r="H167" s="80">
        <f>(D167-C154)*0.35</f>
        <v>1446.3788499031859</v>
      </c>
      <c r="I167" s="19">
        <f>E167*50/C167</f>
        <v>1.5384615384615385E-2</v>
      </c>
      <c r="J167" s="85"/>
      <c r="K167" s="102" t="s">
        <v>49</v>
      </c>
    </row>
    <row r="168" spans="1:11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6"/>
    </row>
    <row r="169" spans="1:11">
      <c r="A169" s="103">
        <v>34</v>
      </c>
      <c r="B169" s="81">
        <f>B167+7</f>
        <v>43807</v>
      </c>
      <c r="C169" s="20">
        <f>D167+G167-H167</f>
        <v>12392.310259169179</v>
      </c>
      <c r="D169" s="17">
        <f>C169+(C169*0.03)</f>
        <v>12764.079566944254</v>
      </c>
      <c r="E169" s="17">
        <f>C169/3250</f>
        <v>3.8130185412828244</v>
      </c>
      <c r="F169" s="28">
        <f>(D169-C169)/E169</f>
        <v>97.500000000000028</v>
      </c>
      <c r="G169" s="18"/>
      <c r="H169" s="18"/>
      <c r="I169" s="19">
        <f>E169*50/C169</f>
        <v>1.5384615384615385E-2</v>
      </c>
      <c r="J169" s="85"/>
    </row>
    <row r="170" spans="1:11">
      <c r="A170" s="104"/>
      <c r="B170" s="81">
        <f>B169+7</f>
        <v>43814</v>
      </c>
      <c r="C170" s="20">
        <f>D169+G169-H169</f>
        <v>12764.079566944254</v>
      </c>
      <c r="D170" s="17">
        <f>C170+(C170*0.03)</f>
        <v>13147.001953952582</v>
      </c>
      <c r="E170" s="17">
        <f>C170/3250</f>
        <v>3.9274090975213092</v>
      </c>
      <c r="F170" s="28">
        <f>(D170-C170)/E170</f>
        <v>97.500000000000057</v>
      </c>
      <c r="G170" s="18"/>
      <c r="H170" s="18"/>
      <c r="I170" s="19">
        <f>E170*50/C170</f>
        <v>1.5384615384615385E-2</v>
      </c>
      <c r="J170" s="85"/>
    </row>
    <row r="171" spans="1:11">
      <c r="A171" s="104"/>
      <c r="B171" s="81">
        <f>B170+7</f>
        <v>43821</v>
      </c>
      <c r="C171" s="20">
        <f>D170+G170-H170</f>
        <v>13147.001953952582</v>
      </c>
      <c r="D171" s="17">
        <f>C171+(C171*0.03)</f>
        <v>13541.41201257116</v>
      </c>
      <c r="E171" s="17">
        <f>C171/3250</f>
        <v>4.045231370446948</v>
      </c>
      <c r="F171" s="28">
        <f>(D171-C171)/E171</f>
        <v>97.500000000000085</v>
      </c>
      <c r="G171" s="18"/>
      <c r="H171" s="18"/>
      <c r="I171" s="19">
        <f>E171*50/C171</f>
        <v>1.5384615384615384E-2</v>
      </c>
      <c r="J171" s="85"/>
    </row>
    <row r="172" spans="1:11" ht="13" thickBot="1">
      <c r="A172" s="105"/>
      <c r="B172" s="81">
        <f>B171+7</f>
        <v>43828</v>
      </c>
      <c r="C172" s="20">
        <f>D171+G171-H171</f>
        <v>13541.41201257116</v>
      </c>
      <c r="D172" s="17">
        <f>C172+(C172*0.03)</f>
        <v>13947.654372948295</v>
      </c>
      <c r="E172" s="17">
        <f>C172/3250</f>
        <v>4.166588311560357</v>
      </c>
      <c r="F172" s="28">
        <f>(D172-C172)/E172</f>
        <v>97.500000000000028</v>
      </c>
      <c r="G172" s="18"/>
      <c r="H172" s="80"/>
      <c r="I172" s="19">
        <f>E172*50/C172</f>
        <v>1.5384615384615385E-2</v>
      </c>
      <c r="J172" s="85"/>
    </row>
    <row r="173" spans="1:11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6"/>
    </row>
    <row r="174" spans="1:11">
      <c r="A174" s="103">
        <v>35</v>
      </c>
      <c r="B174" s="81">
        <f>B172+7</f>
        <v>43835</v>
      </c>
      <c r="C174" s="20">
        <f>D172+G172-H172</f>
        <v>13947.654372948295</v>
      </c>
      <c r="D174" s="17">
        <f>C174+(C174*0.03)</f>
        <v>14366.084004136743</v>
      </c>
      <c r="E174" s="17">
        <f>C174/3250</f>
        <v>4.2915859609071676</v>
      </c>
      <c r="F174" s="28">
        <f>(D174-C174)/E174</f>
        <v>97.499999999999844</v>
      </c>
      <c r="G174" s="18"/>
      <c r="H174" s="18"/>
      <c r="I174" s="19">
        <f>E174*50/C174</f>
        <v>1.5384615384615384E-2</v>
      </c>
      <c r="J174" s="85"/>
    </row>
    <row r="175" spans="1:11">
      <c r="A175" s="104"/>
      <c r="B175" s="81">
        <f>B174+7</f>
        <v>43842</v>
      </c>
      <c r="C175" s="20">
        <f>D174+G174-H174</f>
        <v>14366.084004136743</v>
      </c>
      <c r="D175" s="17">
        <f>C175+(C175*0.03)</f>
        <v>14797.066524260845</v>
      </c>
      <c r="E175" s="17">
        <f>C175/3250</f>
        <v>4.4203335397343828</v>
      </c>
      <c r="F175" s="28">
        <f>(D175-C175)/E175</f>
        <v>97.499999999999915</v>
      </c>
      <c r="G175" s="18"/>
      <c r="H175" s="18"/>
      <c r="I175" s="19">
        <f>E175*50/C175</f>
        <v>1.5384615384615387E-2</v>
      </c>
      <c r="J175" s="85"/>
    </row>
    <row r="176" spans="1:11">
      <c r="A176" s="104"/>
      <c r="B176" s="81">
        <f>B175+7</f>
        <v>43849</v>
      </c>
      <c r="C176" s="20">
        <f>D175+G175-H175</f>
        <v>14797.066524260845</v>
      </c>
      <c r="D176" s="17">
        <f>C176+(C176*0.03)</f>
        <v>15240.97851998867</v>
      </c>
      <c r="E176" s="17">
        <f>C176/3250</f>
        <v>4.5529435459264134</v>
      </c>
      <c r="F176" s="28">
        <f>(D176-C176)/E176</f>
        <v>97.500000000000014</v>
      </c>
      <c r="G176" s="18"/>
      <c r="H176" s="18"/>
      <c r="I176" s="19">
        <f>E176*50/C176</f>
        <v>1.5384615384615384E-2</v>
      </c>
      <c r="J176" s="85"/>
    </row>
    <row r="177" spans="1:11" ht="13.5" thickBot="1">
      <c r="A177" s="105"/>
      <c r="B177" s="81">
        <f>B176+7</f>
        <v>43856</v>
      </c>
      <c r="C177" s="20">
        <f>D176+G176-H176</f>
        <v>15240.97851998867</v>
      </c>
      <c r="D177" s="17">
        <f>C177+(C177*0.03)</f>
        <v>15698.20787558833</v>
      </c>
      <c r="E177" s="17">
        <f>C177/3250</f>
        <v>4.6895318523042064</v>
      </c>
      <c r="F177" s="28">
        <f>(D177-C177)/E177</f>
        <v>97.500000000000028</v>
      </c>
      <c r="G177" s="18"/>
      <c r="H177" s="80">
        <f>(D177-C169)*0.35</f>
        <v>1157.0641657467031</v>
      </c>
      <c r="I177" s="19">
        <f>E177*50/C177</f>
        <v>1.5384615384615387E-2</v>
      </c>
      <c r="J177" s="85"/>
      <c r="K177" s="102" t="s">
        <v>49</v>
      </c>
    </row>
    <row r="178" spans="1:11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6"/>
    </row>
  </sheetData>
  <mergeCells count="36">
    <mergeCell ref="B1:I1"/>
    <mergeCell ref="A4:A7"/>
    <mergeCell ref="A9:A12"/>
    <mergeCell ref="A14:A17"/>
    <mergeCell ref="A19:A22"/>
    <mergeCell ref="A24:A27"/>
    <mergeCell ref="A29:A32"/>
    <mergeCell ref="A34:A37"/>
    <mergeCell ref="A39:A42"/>
    <mergeCell ref="A44:A47"/>
    <mergeCell ref="A49:A52"/>
    <mergeCell ref="A54:A57"/>
    <mergeCell ref="A59:A62"/>
    <mergeCell ref="A64:A67"/>
    <mergeCell ref="A69:A72"/>
    <mergeCell ref="A74:A77"/>
    <mergeCell ref="A79:A82"/>
    <mergeCell ref="A84:A87"/>
    <mergeCell ref="A89:A92"/>
    <mergeCell ref="A94:A97"/>
    <mergeCell ref="A99:A102"/>
    <mergeCell ref="A104:A107"/>
    <mergeCell ref="A109:A112"/>
    <mergeCell ref="A114:A117"/>
    <mergeCell ref="A119:A122"/>
    <mergeCell ref="A124:A127"/>
    <mergeCell ref="A129:A132"/>
    <mergeCell ref="A134:A137"/>
    <mergeCell ref="A139:A142"/>
    <mergeCell ref="A144:A147"/>
    <mergeCell ref="A149:A152"/>
    <mergeCell ref="A169:A172"/>
    <mergeCell ref="A174:A177"/>
    <mergeCell ref="A154:A157"/>
    <mergeCell ref="A159:A162"/>
    <mergeCell ref="A164:A167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N234"/>
  <sheetViews>
    <sheetView tabSelected="1" topLeftCell="A115" workbookViewId="0">
      <selection activeCell="B136" sqref="B136"/>
    </sheetView>
  </sheetViews>
  <sheetFormatPr defaultColWidth="9.1796875" defaultRowHeight="12.5"/>
  <cols>
    <col min="2" max="2" width="9.54296875" customWidth="1"/>
    <col min="3" max="3" width="10.54296875" bestFit="1" customWidth="1"/>
    <col min="4" max="4" width="6.54296875" bestFit="1" customWidth="1"/>
    <col min="5" max="5" width="6" bestFit="1" customWidth="1"/>
    <col min="6" max="6" width="8.7265625" bestFit="1" customWidth="1"/>
    <col min="7" max="7" width="12" bestFit="1" customWidth="1"/>
    <col min="8" max="8" width="9" bestFit="1" customWidth="1"/>
    <col min="9" max="9" width="7.453125" bestFit="1" customWidth="1"/>
    <col min="10" max="10" width="5.1796875" bestFit="1" customWidth="1"/>
    <col min="11" max="11" width="7.453125" bestFit="1" customWidth="1"/>
    <col min="12" max="12" width="11" customWidth="1"/>
    <col min="13" max="13" width="6.08984375" customWidth="1"/>
    <col min="14" max="14" width="3.36328125" customWidth="1"/>
  </cols>
  <sheetData>
    <row r="1" spans="1:13" ht="15" thickBot="1">
      <c r="A1" s="108" t="s">
        <v>47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10"/>
    </row>
    <row r="2" spans="1:13" ht="18.75" customHeight="1" thickBot="1">
      <c r="A2" s="3" t="s">
        <v>3</v>
      </c>
      <c r="B2" s="4" t="s">
        <v>4</v>
      </c>
      <c r="C2" s="5" t="s">
        <v>5</v>
      </c>
      <c r="D2" s="5" t="s">
        <v>12</v>
      </c>
      <c r="E2" s="5" t="s">
        <v>13</v>
      </c>
      <c r="F2" s="5" t="s">
        <v>6</v>
      </c>
      <c r="G2" s="5" t="s">
        <v>6</v>
      </c>
      <c r="H2" s="14" t="s">
        <v>14</v>
      </c>
      <c r="I2" s="40" t="s">
        <v>21</v>
      </c>
      <c r="J2" s="40" t="s">
        <v>21</v>
      </c>
      <c r="K2" s="42" t="s">
        <v>2</v>
      </c>
      <c r="L2" s="6" t="s">
        <v>7</v>
      </c>
    </row>
    <row r="3" spans="1:13" ht="13" thickBot="1">
      <c r="A3" s="3" t="s">
        <v>8</v>
      </c>
      <c r="B3" s="7" t="s">
        <v>44</v>
      </c>
      <c r="C3" s="7" t="s">
        <v>44</v>
      </c>
      <c r="D3" s="8" t="s">
        <v>15</v>
      </c>
      <c r="E3" s="8" t="s">
        <v>16</v>
      </c>
      <c r="F3" s="8" t="s">
        <v>9</v>
      </c>
      <c r="G3" s="8" t="s">
        <v>10</v>
      </c>
      <c r="H3" s="14" t="s">
        <v>17</v>
      </c>
      <c r="I3" s="14" t="s">
        <v>22</v>
      </c>
      <c r="J3" s="14" t="s">
        <v>23</v>
      </c>
      <c r="K3" s="6" t="s">
        <v>24</v>
      </c>
      <c r="L3" s="6" t="s">
        <v>11</v>
      </c>
    </row>
    <row r="4" spans="1:13">
      <c r="A4" s="15">
        <v>42386</v>
      </c>
      <c r="B4" s="16">
        <v>300</v>
      </c>
      <c r="C4" s="17">
        <f>B4+(B4*0.55)</f>
        <v>465</v>
      </c>
      <c r="D4" s="17">
        <f>B4/2000</f>
        <v>0.15</v>
      </c>
      <c r="E4" s="34">
        <f>(C4-B4)/D4</f>
        <v>1100</v>
      </c>
      <c r="F4" s="18"/>
      <c r="G4" s="18"/>
      <c r="H4" s="19">
        <f>D4*50/B4</f>
        <v>2.5000000000000001E-2</v>
      </c>
      <c r="I4" s="43"/>
      <c r="J4" s="18"/>
      <c r="K4" s="43"/>
      <c r="L4" s="9"/>
    </row>
    <row r="5" spans="1:13">
      <c r="A5" s="15">
        <f>A4+7</f>
        <v>42393</v>
      </c>
      <c r="B5" s="20">
        <f>C4+F4-G4</f>
        <v>465</v>
      </c>
      <c r="C5" s="17">
        <f>B5+(B5*0.51)</f>
        <v>702.15</v>
      </c>
      <c r="D5" s="17">
        <f>B5/2000</f>
        <v>0.23250000000000001</v>
      </c>
      <c r="E5" s="34">
        <f>(C5-B5)/D5</f>
        <v>1019.9999999999999</v>
      </c>
      <c r="F5" s="18">
        <v>200</v>
      </c>
      <c r="G5" s="18"/>
      <c r="H5" s="19">
        <f>D5*50/B5</f>
        <v>2.5000000000000001E-2</v>
      </c>
      <c r="I5" s="43"/>
      <c r="J5" s="18"/>
      <c r="K5" s="43"/>
      <c r="L5" s="9"/>
    </row>
    <row r="6" spans="1:13">
      <c r="A6" s="15">
        <f>A5+7</f>
        <v>42400</v>
      </c>
      <c r="B6" s="20">
        <f>C5+F5-G5</f>
        <v>902.15</v>
      </c>
      <c r="C6" s="17">
        <f>B6+(B6*0.325)</f>
        <v>1195.3487500000001</v>
      </c>
      <c r="D6" s="17">
        <f>B6/2000</f>
        <v>0.451075</v>
      </c>
      <c r="E6" s="34">
        <f>(C6-B6)/D6</f>
        <v>650.00000000000034</v>
      </c>
      <c r="F6" s="18"/>
      <c r="G6" s="18"/>
      <c r="H6" s="19">
        <f>D6*50/B6</f>
        <v>2.5000000000000001E-2</v>
      </c>
      <c r="I6" s="43"/>
      <c r="J6" s="18"/>
      <c r="K6" s="43"/>
      <c r="L6" s="9"/>
    </row>
    <row r="7" spans="1:13" ht="13" thickBot="1">
      <c r="A7" s="15">
        <f>A6+7</f>
        <v>42407</v>
      </c>
      <c r="B7" s="20">
        <f>C6+F6-G6</f>
        <v>1195.3487500000001</v>
      </c>
      <c r="C7" s="17">
        <f>B7+(B7*0.25)</f>
        <v>1494.1859375000001</v>
      </c>
      <c r="D7" s="17">
        <f>B7/2000</f>
        <v>0.59767437500000009</v>
      </c>
      <c r="E7" s="34">
        <f>(C7-B7)/D7</f>
        <v>499.99999999999994</v>
      </c>
      <c r="F7" s="18"/>
      <c r="G7" s="21"/>
      <c r="H7" s="19">
        <f>D7*50/B7</f>
        <v>2.5000000000000001E-2</v>
      </c>
      <c r="I7" s="43"/>
      <c r="J7" s="18"/>
      <c r="K7" s="43"/>
      <c r="L7" s="9"/>
    </row>
    <row r="8" spans="1:13" ht="13.5" thickBot="1">
      <c r="A8" s="13"/>
      <c r="B8" s="22"/>
      <c r="C8" s="23"/>
      <c r="D8" s="23"/>
      <c r="E8" s="44">
        <v>3270</v>
      </c>
      <c r="F8" s="23"/>
      <c r="G8" s="10"/>
      <c r="H8" s="24"/>
      <c r="I8" s="45"/>
      <c r="J8" s="25"/>
      <c r="K8" s="45"/>
      <c r="L8" s="11"/>
    </row>
    <row r="9" spans="1:13" ht="14.5">
      <c r="A9" s="46">
        <f>A7+7</f>
        <v>42414</v>
      </c>
      <c r="B9" s="47">
        <f>C7-G7</f>
        <v>1494.1859375000001</v>
      </c>
      <c r="C9" s="48">
        <f>B9+(B9*-0.3)</f>
        <v>1045.93015625</v>
      </c>
      <c r="D9" s="48">
        <f>B9/2000</f>
        <v>0.74709296875000009</v>
      </c>
      <c r="E9" s="37">
        <f>(C9-B9)/D9</f>
        <v>-600.00000000000011</v>
      </c>
      <c r="F9" s="18"/>
      <c r="G9" s="18"/>
      <c r="H9" s="49">
        <f>D9*50/B9</f>
        <v>2.5000000000000001E-2</v>
      </c>
      <c r="I9" s="51"/>
      <c r="J9" s="52"/>
      <c r="K9" s="51"/>
      <c r="L9" s="53"/>
      <c r="M9" s="12" t="s">
        <v>1</v>
      </c>
    </row>
    <row r="10" spans="1:13" ht="14.5">
      <c r="A10" s="46">
        <f>A9+7</f>
        <v>42421</v>
      </c>
      <c r="B10" s="47">
        <f>C9+F9-G9</f>
        <v>1045.93015625</v>
      </c>
      <c r="C10" s="48">
        <f>B10+(B10*-0.3)</f>
        <v>732.15110937500003</v>
      </c>
      <c r="D10" s="48">
        <f>B10/2000</f>
        <v>0.52296507812500004</v>
      </c>
      <c r="E10" s="37">
        <f>(C10-B10)/D10</f>
        <v>-599.99999999999989</v>
      </c>
      <c r="F10" s="18"/>
      <c r="G10" s="18"/>
      <c r="H10" s="49">
        <f>D10*50/B10</f>
        <v>2.5000000000000001E-2</v>
      </c>
      <c r="I10" s="51"/>
      <c r="J10" s="52"/>
      <c r="K10" s="51"/>
      <c r="L10" s="53"/>
      <c r="M10" s="12" t="s">
        <v>1</v>
      </c>
    </row>
    <row r="11" spans="1:13" ht="14.5">
      <c r="A11" s="46">
        <f>A10+7</f>
        <v>42428</v>
      </c>
      <c r="B11" s="47">
        <f>C10+F10-G10</f>
        <v>732.15110937500003</v>
      </c>
      <c r="C11" s="48">
        <f>B11+(B11*-0.14)</f>
        <v>629.6499540625</v>
      </c>
      <c r="D11" s="48">
        <f>B11/2000</f>
        <v>0.36607555468750003</v>
      </c>
      <c r="E11" s="37">
        <f>(C11-B11)/D11</f>
        <v>-280.00000000000006</v>
      </c>
      <c r="F11" s="18">
        <v>470</v>
      </c>
      <c r="G11" s="18"/>
      <c r="H11" s="49">
        <f>D11*50/B11</f>
        <v>2.4999999999999998E-2</v>
      </c>
      <c r="I11" s="51"/>
      <c r="J11" s="52"/>
      <c r="K11" s="51"/>
      <c r="L11" s="53"/>
      <c r="M11" s="12" t="s">
        <v>1</v>
      </c>
    </row>
    <row r="12" spans="1:13" ht="13" thickBot="1">
      <c r="A12" s="15">
        <f>A11+7</f>
        <v>42435</v>
      </c>
      <c r="B12" s="20">
        <f>C11+F11-G11</f>
        <v>1099.6499540625</v>
      </c>
      <c r="C12" s="17">
        <f>B12+(B12*0.7)</f>
        <v>1869.4049219062499</v>
      </c>
      <c r="D12" s="17">
        <f>B12/2000</f>
        <v>0.54982497703125</v>
      </c>
      <c r="E12" s="34">
        <f>(C12-B12)/D12</f>
        <v>1399.9999999999998</v>
      </c>
      <c r="F12" s="18"/>
      <c r="G12" s="18"/>
      <c r="H12" s="19">
        <f>D12*50/B12</f>
        <v>2.4999999999999998E-2</v>
      </c>
      <c r="I12" s="43"/>
      <c r="J12" s="18"/>
      <c r="K12" s="43"/>
      <c r="L12" s="9"/>
    </row>
    <row r="13" spans="1:13" ht="13.5" thickBot="1">
      <c r="A13" s="13"/>
      <c r="B13" s="22"/>
      <c r="C13" s="23"/>
      <c r="D13" s="23"/>
      <c r="E13" s="44">
        <v>-80</v>
      </c>
      <c r="F13" s="23"/>
      <c r="G13" s="10"/>
      <c r="H13" s="24"/>
      <c r="I13" s="45"/>
      <c r="J13" s="25"/>
      <c r="K13" s="45"/>
      <c r="L13" s="11"/>
    </row>
    <row r="14" spans="1:13">
      <c r="A14" s="15">
        <f>A12+7</f>
        <v>42442</v>
      </c>
      <c r="B14" s="20">
        <f>C12+F12-G12</f>
        <v>1869.4049219062499</v>
      </c>
      <c r="C14" s="17">
        <f>B14+(B14*-0.015)</f>
        <v>1841.3638480776563</v>
      </c>
      <c r="D14" s="17">
        <f>B14/2000</f>
        <v>0.93470246095312493</v>
      </c>
      <c r="E14" s="28">
        <f>(C14-B14)/D14</f>
        <v>-29.999999999999901</v>
      </c>
      <c r="F14" s="18"/>
      <c r="G14" s="18"/>
      <c r="H14" s="19">
        <f>D14*50/B14</f>
        <v>2.4999999999999998E-2</v>
      </c>
      <c r="I14" s="43"/>
      <c r="J14" s="18"/>
      <c r="K14" s="43"/>
      <c r="L14" s="9"/>
    </row>
    <row r="15" spans="1:13" ht="13">
      <c r="A15" s="54">
        <f>A14+7</f>
        <v>42449</v>
      </c>
      <c r="B15" s="55">
        <f>C14+F14-G14</f>
        <v>1841.3638480776563</v>
      </c>
      <c r="C15" s="56">
        <f>B15+(B15*0.05)</f>
        <v>1933.4320404815392</v>
      </c>
      <c r="D15" s="56">
        <f>B15/2000</f>
        <v>0.92068192403882809</v>
      </c>
      <c r="E15" s="34">
        <f>(C15-B15)/D15</f>
        <v>100.0000000000001</v>
      </c>
      <c r="F15" s="18"/>
      <c r="G15" s="18"/>
      <c r="H15" s="57">
        <f>D15*50/B15</f>
        <v>2.4999999999999998E-2</v>
      </c>
      <c r="I15" s="43"/>
      <c r="J15" s="18"/>
      <c r="K15" s="43"/>
      <c r="L15" s="9"/>
      <c r="M15" s="58" t="s">
        <v>25</v>
      </c>
    </row>
    <row r="16" spans="1:13" ht="13">
      <c r="A16" s="54">
        <f>A15+7</f>
        <v>42456</v>
      </c>
      <c r="B16" s="55">
        <f>C15+F15-G15</f>
        <v>1933.4320404815392</v>
      </c>
      <c r="C16" s="56">
        <f>B16+(B16*0.459)</f>
        <v>2820.8773470625656</v>
      </c>
      <c r="D16" s="56">
        <f>B16/2000</f>
        <v>0.96671602024076964</v>
      </c>
      <c r="E16" s="34">
        <f>(C16-B16)/D16</f>
        <v>917.99999999999989</v>
      </c>
      <c r="F16" s="18"/>
      <c r="G16" s="18"/>
      <c r="H16" s="57">
        <f>D16*50/B16</f>
        <v>2.5000000000000001E-2</v>
      </c>
      <c r="I16" s="43"/>
      <c r="J16" s="18"/>
      <c r="K16" s="43"/>
      <c r="L16" s="9"/>
      <c r="M16" s="58" t="s">
        <v>25</v>
      </c>
    </row>
    <row r="17" spans="1:14" ht="13.5" thickBot="1">
      <c r="A17" s="54">
        <f>A16+7</f>
        <v>42463</v>
      </c>
      <c r="B17" s="55">
        <f>C16+F16-G16</f>
        <v>2820.8773470625656</v>
      </c>
      <c r="C17" s="56">
        <f>B17+(B17*0.3)</f>
        <v>3667.1405511813355</v>
      </c>
      <c r="D17" s="56">
        <f>B17/2000</f>
        <v>1.4104386735312828</v>
      </c>
      <c r="E17" s="34">
        <f>(C17-B17)/D17</f>
        <v>600.00000000000011</v>
      </c>
      <c r="F17" s="26"/>
      <c r="G17" s="18"/>
      <c r="H17" s="57">
        <f>D17*50/B17</f>
        <v>2.5000000000000001E-2</v>
      </c>
      <c r="I17" s="43"/>
      <c r="J17" s="18"/>
      <c r="K17" s="43"/>
      <c r="L17" s="9"/>
      <c r="M17" s="58" t="s">
        <v>25</v>
      </c>
    </row>
    <row r="18" spans="1:14" ht="13.5" thickBot="1">
      <c r="A18" s="13"/>
      <c r="B18" s="22"/>
      <c r="C18" s="23"/>
      <c r="D18" s="23"/>
      <c r="E18" s="44">
        <v>1588</v>
      </c>
      <c r="F18" s="23"/>
      <c r="G18" s="10"/>
      <c r="H18" s="24"/>
      <c r="I18" s="45"/>
      <c r="J18" s="25"/>
      <c r="K18" s="45"/>
      <c r="L18" s="11"/>
      <c r="M18" s="1"/>
    </row>
    <row r="19" spans="1:14" ht="14.5">
      <c r="A19" s="54">
        <f>A17+7</f>
        <v>42470</v>
      </c>
      <c r="B19" s="55">
        <f>C17+F17-G17</f>
        <v>3667.1405511813355</v>
      </c>
      <c r="C19" s="56">
        <f>B19+(B19*0.474)</f>
        <v>5405.3651724412885</v>
      </c>
      <c r="D19" s="56">
        <f>B19/2000</f>
        <v>1.8335702755906678</v>
      </c>
      <c r="E19" s="34">
        <f>(C19-B19)/D19</f>
        <v>948</v>
      </c>
      <c r="F19" s="18"/>
      <c r="G19" s="18"/>
      <c r="H19" s="57">
        <f>D19*50/B19</f>
        <v>2.5000000000000001E-2</v>
      </c>
      <c r="I19" s="43"/>
      <c r="J19" s="18"/>
      <c r="K19" s="43"/>
      <c r="L19" s="9"/>
      <c r="M19" s="58" t="s">
        <v>25</v>
      </c>
      <c r="N19" s="29" t="s">
        <v>18</v>
      </c>
    </row>
    <row r="20" spans="1:14" ht="13">
      <c r="A20" s="54">
        <f>A19+7</f>
        <v>42477</v>
      </c>
      <c r="B20" s="55">
        <f>C19+F19-G19</f>
        <v>5405.3651724412885</v>
      </c>
      <c r="C20" s="56">
        <f>B20+(B20*0.07)</f>
        <v>5783.7407345121783</v>
      </c>
      <c r="D20" s="56">
        <f>B20/4000</f>
        <v>1.3513412931103221</v>
      </c>
      <c r="E20" s="34">
        <f>(C20-B20)/D20</f>
        <v>279.99999999999972</v>
      </c>
      <c r="F20" s="26"/>
      <c r="G20" s="18"/>
      <c r="H20" s="57">
        <f>D20*50/B20</f>
        <v>1.2500000000000001E-2</v>
      </c>
      <c r="I20" s="43"/>
      <c r="J20" s="18"/>
      <c r="K20" s="43"/>
      <c r="L20" s="9"/>
      <c r="M20" s="58" t="s">
        <v>25</v>
      </c>
    </row>
    <row r="21" spans="1:14" ht="13">
      <c r="A21" s="54">
        <f>A20+7</f>
        <v>42484</v>
      </c>
      <c r="B21" s="55">
        <f>C20+F20-G20</f>
        <v>5783.7407345121783</v>
      </c>
      <c r="C21" s="56">
        <f>B21+(B21*-0.184)</f>
        <v>4719.5324393619376</v>
      </c>
      <c r="D21" s="56">
        <f>B21/4000</f>
        <v>1.4459351836280445</v>
      </c>
      <c r="E21" s="34">
        <f>(C21-B21)/D21</f>
        <v>-736</v>
      </c>
      <c r="F21" s="18"/>
      <c r="G21" s="18"/>
      <c r="H21" s="57">
        <f>D21*50/B21</f>
        <v>1.2499999999999999E-2</v>
      </c>
      <c r="I21" s="59">
        <v>0.1</v>
      </c>
      <c r="J21" s="60" t="s">
        <v>0</v>
      </c>
      <c r="K21" s="61">
        <v>-0.18</v>
      </c>
      <c r="L21" s="53"/>
      <c r="M21" s="58" t="s">
        <v>25</v>
      </c>
    </row>
    <row r="22" spans="1:14" ht="13" thickBot="1">
      <c r="A22" s="15">
        <f>A21+7</f>
        <v>42491</v>
      </c>
      <c r="B22" s="20">
        <f>C21+F21-G21</f>
        <v>4719.5324393619376</v>
      </c>
      <c r="C22" s="17">
        <f>B22+(B22*0.179)</f>
        <v>5564.3287460077245</v>
      </c>
      <c r="D22" s="17">
        <f>B22/4500</f>
        <v>1.0487849865248751</v>
      </c>
      <c r="E22" s="34">
        <f>(C22-B22)/D22</f>
        <v>805.5</v>
      </c>
      <c r="F22" s="26"/>
      <c r="G22" s="18"/>
      <c r="H22" s="19">
        <f>D22*50/B22</f>
        <v>1.1111111111111112E-2</v>
      </c>
      <c r="I22" s="59">
        <v>0.17</v>
      </c>
      <c r="J22" s="60" t="s">
        <v>32</v>
      </c>
      <c r="K22" s="59">
        <v>0.17</v>
      </c>
      <c r="L22" s="9"/>
      <c r="N22" s="2"/>
    </row>
    <row r="23" spans="1:14" ht="13.5" thickBot="1">
      <c r="A23" s="13"/>
      <c r="B23" s="22"/>
      <c r="C23" s="23"/>
      <c r="D23" s="23"/>
      <c r="E23" s="44">
        <v>1298</v>
      </c>
      <c r="F23" s="23"/>
      <c r="G23" s="10"/>
      <c r="H23" s="24"/>
      <c r="I23" s="45"/>
      <c r="J23" s="25"/>
      <c r="K23" s="45"/>
      <c r="L23" s="11"/>
    </row>
    <row r="24" spans="1:14">
      <c r="A24" s="15">
        <f>A22+7</f>
        <v>42498</v>
      </c>
      <c r="B24" s="20">
        <f>C22+F22-G22</f>
        <v>5564.3287460077245</v>
      </c>
      <c r="C24" s="17">
        <f>B24+(B24*-0.12975)</f>
        <v>4842.3570912132218</v>
      </c>
      <c r="D24" s="17">
        <f>B24/4500</f>
        <v>1.2365174991128276</v>
      </c>
      <c r="E24" s="37">
        <f>(C24-B24)/D24</f>
        <v>-583.87500000000034</v>
      </c>
      <c r="F24" s="18"/>
      <c r="G24" s="18"/>
      <c r="H24" s="19">
        <f>D24*50/B24</f>
        <v>1.1111111111111112E-2</v>
      </c>
      <c r="I24" s="61">
        <v>-0.12</v>
      </c>
      <c r="J24" s="50" t="s">
        <v>27</v>
      </c>
      <c r="K24" s="61">
        <v>-0.12</v>
      </c>
      <c r="L24" s="9"/>
    </row>
    <row r="25" spans="1:14">
      <c r="A25" s="15">
        <f>A24+7</f>
        <v>42505</v>
      </c>
      <c r="B25" s="20">
        <f>C24+F24-G24</f>
        <v>4842.3570912132218</v>
      </c>
      <c r="C25" s="17">
        <f>B25+(B25*0.014)</f>
        <v>4910.1500904902068</v>
      </c>
      <c r="D25" s="17">
        <f>B25/4500</f>
        <v>1.0760793536029383</v>
      </c>
      <c r="E25" s="34">
        <f>(C25-B25)/D25</f>
        <v>62.999999999999922</v>
      </c>
      <c r="F25" s="18"/>
      <c r="G25" s="21">
        <v>1500</v>
      </c>
      <c r="H25" s="19">
        <f>D25*50/B25</f>
        <v>1.1111111111111112E-2</v>
      </c>
      <c r="I25" s="59">
        <v>0.1</v>
      </c>
      <c r="J25" s="60" t="s">
        <v>28</v>
      </c>
      <c r="K25" s="59">
        <v>0.01</v>
      </c>
      <c r="L25" s="9"/>
    </row>
    <row r="26" spans="1:14" ht="13">
      <c r="A26" s="54">
        <f>A25+7</f>
        <v>42512</v>
      </c>
      <c r="B26" s="55">
        <f>C25+F25-G25</f>
        <v>3410.1500904902068</v>
      </c>
      <c r="C26" s="56">
        <f>B26+(B26*0.017)</f>
        <v>3468.1226420285402</v>
      </c>
      <c r="D26" s="56">
        <f>B26/4500</f>
        <v>0.75781113122004595</v>
      </c>
      <c r="E26" s="34">
        <f>(C26-B26)/D26</f>
        <v>76.499999999999829</v>
      </c>
      <c r="F26" s="18"/>
      <c r="G26" s="18"/>
      <c r="H26" s="57">
        <f>D26*50/B26</f>
        <v>1.1111111111111112E-2</v>
      </c>
      <c r="I26" s="59">
        <v>0.06</v>
      </c>
      <c r="J26" s="60" t="s">
        <v>28</v>
      </c>
      <c r="K26" s="59">
        <v>0.01</v>
      </c>
      <c r="L26" s="53"/>
      <c r="M26" s="58" t="s">
        <v>25</v>
      </c>
    </row>
    <row r="27" spans="1:14" ht="13" thickBot="1">
      <c r="A27" s="15">
        <f>A26+7</f>
        <v>42519</v>
      </c>
      <c r="B27" s="17">
        <f>C26+F26-G26</f>
        <v>3468.1226420285402</v>
      </c>
      <c r="C27" s="17">
        <f>B27+(B27*-0.193)</f>
        <v>2798.7749721170321</v>
      </c>
      <c r="D27" s="17">
        <f>B27/4500</f>
        <v>0.77069392045078666</v>
      </c>
      <c r="E27" s="37">
        <f>(C27-B27)/D27</f>
        <v>-868.49999999999989</v>
      </c>
      <c r="F27" s="26">
        <v>1500</v>
      </c>
      <c r="G27" s="18"/>
      <c r="H27" s="19">
        <f>D27*50/B27</f>
        <v>1.1111111111111112E-2</v>
      </c>
      <c r="I27" s="59">
        <v>0.06</v>
      </c>
      <c r="J27" s="60" t="s">
        <v>29</v>
      </c>
      <c r="K27" s="61">
        <v>-0.12</v>
      </c>
      <c r="L27" s="9"/>
    </row>
    <row r="28" spans="1:14" ht="13.5" thickBot="1">
      <c r="A28" s="13"/>
      <c r="B28" s="22"/>
      <c r="C28" s="23"/>
      <c r="D28" s="23"/>
      <c r="E28" s="44">
        <v>-1313</v>
      </c>
      <c r="F28" s="30"/>
      <c r="G28" s="10"/>
      <c r="H28" s="24"/>
      <c r="I28" s="45"/>
      <c r="J28" s="25"/>
      <c r="K28" s="45"/>
      <c r="L28" s="11"/>
    </row>
    <row r="29" spans="1:14">
      <c r="A29" s="15">
        <f>A27+7</f>
        <v>42526</v>
      </c>
      <c r="B29" s="20">
        <f>C27+F27-G27</f>
        <v>4298.7749721170321</v>
      </c>
      <c r="C29" s="17">
        <f>B29+(B29*-0.0986)</f>
        <v>3874.9157598662928</v>
      </c>
      <c r="D29" s="17">
        <f>B29/4500</f>
        <v>0.95528332713711828</v>
      </c>
      <c r="E29" s="37">
        <f>(C29-B29)/D29</f>
        <v>-443.7</v>
      </c>
      <c r="F29" s="18"/>
      <c r="G29" s="18"/>
      <c r="H29" s="19">
        <f>D29*50/B29</f>
        <v>1.1111111111111112E-2</v>
      </c>
      <c r="I29" s="61">
        <v>-0.09</v>
      </c>
      <c r="J29" s="50" t="s">
        <v>27</v>
      </c>
      <c r="K29" s="61">
        <v>-0.09</v>
      </c>
      <c r="L29" s="9"/>
    </row>
    <row r="30" spans="1:14" ht="13">
      <c r="A30" s="15">
        <f>A29+7</f>
        <v>42533</v>
      </c>
      <c r="B30" s="20">
        <f>C29+F29-G29</f>
        <v>3874.9157598662928</v>
      </c>
      <c r="C30" s="17">
        <f>B30+(B30*-0.05)</f>
        <v>3681.1699718729783</v>
      </c>
      <c r="D30" s="38">
        <f>B30/15000</f>
        <v>0.2583277173244195</v>
      </c>
      <c r="E30" s="37">
        <f>(C30-B30)/D30</f>
        <v>-749.99999999999943</v>
      </c>
      <c r="F30" s="18"/>
      <c r="G30" s="18"/>
      <c r="H30" s="19">
        <f>D30*50/B30</f>
        <v>3.3333333333333331E-3</v>
      </c>
      <c r="I30" s="43"/>
      <c r="J30" s="18"/>
      <c r="K30" s="43"/>
      <c r="L30" s="9"/>
      <c r="M30" s="39" t="s">
        <v>19</v>
      </c>
    </row>
    <row r="31" spans="1:14" ht="13">
      <c r="A31" s="15">
        <f>A30+7</f>
        <v>42540</v>
      </c>
      <c r="B31" s="20">
        <f>C30+F30-G30</f>
        <v>3681.1699718729783</v>
      </c>
      <c r="C31" s="17">
        <f>B31+(B31*0.1)</f>
        <v>4049.2869690602761</v>
      </c>
      <c r="D31" s="38">
        <f>B31/15000</f>
        <v>0.24541133145819854</v>
      </c>
      <c r="E31" s="34">
        <f>(C31-B31)/D31</f>
        <v>1499.9999999999998</v>
      </c>
      <c r="F31" s="26"/>
      <c r="G31" s="18"/>
      <c r="H31" s="19">
        <f>D31*50/B31</f>
        <v>3.3333333333333335E-3</v>
      </c>
      <c r="I31" s="43"/>
      <c r="J31" s="18"/>
      <c r="K31" s="43"/>
      <c r="L31" s="9"/>
      <c r="M31" s="39" t="s">
        <v>19</v>
      </c>
    </row>
    <row r="32" spans="1:14" ht="13.5" thickBot="1">
      <c r="A32" s="15">
        <f>A31+7</f>
        <v>42547</v>
      </c>
      <c r="B32" s="20">
        <f>C31+F31-G31</f>
        <v>4049.2869690602761</v>
      </c>
      <c r="C32" s="17">
        <f>B32+(B32*-0.117)</f>
        <v>3575.5203936802236</v>
      </c>
      <c r="D32" s="17">
        <f>B32/10000</f>
        <v>0.40492869690602762</v>
      </c>
      <c r="E32" s="37">
        <f>(C32-B32)/D32</f>
        <v>-1170.0000000000005</v>
      </c>
      <c r="F32" s="26"/>
      <c r="G32" s="21">
        <v>2000</v>
      </c>
      <c r="H32" s="19">
        <f>D32*50/B32</f>
        <v>5.0000000000000001E-3</v>
      </c>
      <c r="I32" s="43"/>
      <c r="J32" s="18"/>
      <c r="K32" s="43"/>
      <c r="L32" s="9"/>
      <c r="M32" s="36" t="s">
        <v>20</v>
      </c>
    </row>
    <row r="33" spans="1:14" ht="13.5" thickBot="1">
      <c r="A33" s="13"/>
      <c r="B33" s="22"/>
      <c r="C33" s="23"/>
      <c r="D33" s="23"/>
      <c r="E33" s="44">
        <v>-864</v>
      </c>
      <c r="F33" s="30"/>
      <c r="G33" s="10"/>
      <c r="H33" s="24"/>
      <c r="I33" s="45"/>
      <c r="J33" s="25"/>
      <c r="K33" s="45"/>
      <c r="L33" s="11"/>
    </row>
    <row r="34" spans="1:14" s="1" customFormat="1">
      <c r="A34" s="15">
        <f>A32+7</f>
        <v>42554</v>
      </c>
      <c r="B34" s="20">
        <f>C32+F32-G32</f>
        <v>1575.5203936802236</v>
      </c>
      <c r="C34" s="17">
        <f>B34+(B34*-0.047)</f>
        <v>1501.4709351772531</v>
      </c>
      <c r="D34" s="17">
        <f>B34/10000</f>
        <v>0.15755203936802237</v>
      </c>
      <c r="E34" s="37">
        <f>(C34-B34)/D34</f>
        <v>-470.00000000000017</v>
      </c>
      <c r="F34" s="18">
        <v>615</v>
      </c>
      <c r="G34" s="21">
        <v>200</v>
      </c>
      <c r="H34" s="19">
        <f>D34*50/B34</f>
        <v>5.0000000000000001E-3</v>
      </c>
      <c r="I34" s="43"/>
      <c r="J34" s="18"/>
      <c r="K34" s="43"/>
      <c r="L34" s="9"/>
      <c r="M34" s="62" t="s">
        <v>30</v>
      </c>
    </row>
    <row r="35" spans="1:14" s="1" customFormat="1" ht="13">
      <c r="A35" s="15">
        <f>A34+7</f>
        <v>42561</v>
      </c>
      <c r="B35" s="20">
        <f>C34+F34-G34</f>
        <v>1916.4709351772531</v>
      </c>
      <c r="C35" s="17">
        <f>B35+(B35*0.226)</f>
        <v>2349.5933665273124</v>
      </c>
      <c r="D35" s="17">
        <f>B35/10000</f>
        <v>0.1916470935177253</v>
      </c>
      <c r="E35" s="34">
        <f>(C35-B35)/D35</f>
        <v>2260.0000000000005</v>
      </c>
      <c r="F35" s="18">
        <v>1350</v>
      </c>
      <c r="G35" s="18"/>
      <c r="H35" s="19">
        <f>D35*50/B35</f>
        <v>5.0000000000000001E-3</v>
      </c>
      <c r="I35" s="43"/>
      <c r="J35" s="18"/>
      <c r="K35" s="43"/>
      <c r="L35" s="9"/>
      <c r="M35" s="36" t="s">
        <v>20</v>
      </c>
    </row>
    <row r="36" spans="1:14" s="1" customFormat="1">
      <c r="A36" s="15">
        <f>A35+7</f>
        <v>42568</v>
      </c>
      <c r="B36" s="20">
        <f>C35+F35-G35</f>
        <v>3699.5933665273124</v>
      </c>
      <c r="C36" s="17">
        <f>B36+(B36*-0.207277)</f>
        <v>2932.7527522936307</v>
      </c>
      <c r="D36" s="17">
        <f>B36/10000</f>
        <v>0.36995933665273123</v>
      </c>
      <c r="E36" s="35">
        <f>(C36-B36)/D36</f>
        <v>-2072.77</v>
      </c>
      <c r="F36" s="26"/>
      <c r="G36" s="18"/>
      <c r="H36" s="19">
        <f>D36*50/B36</f>
        <v>4.9999999999999992E-3</v>
      </c>
      <c r="I36" s="43"/>
      <c r="J36" s="18"/>
      <c r="K36" s="43"/>
      <c r="L36" s="9"/>
    </row>
    <row r="37" spans="1:14" ht="13" thickBot="1">
      <c r="A37" s="15">
        <f>A36+7</f>
        <v>42575</v>
      </c>
      <c r="B37" s="20">
        <f>C36+F36-G36</f>
        <v>2932.7527522936307</v>
      </c>
      <c r="C37" s="17">
        <f>B37+(B37*-0.1674)</f>
        <v>2441.8099415596771</v>
      </c>
      <c r="D37" s="17">
        <f>B37/10000</f>
        <v>0.29327527522936309</v>
      </c>
      <c r="E37" s="35">
        <f>(C37-B37)/D37</f>
        <v>-1673.9999999999993</v>
      </c>
      <c r="F37" s="26"/>
      <c r="G37" s="18"/>
      <c r="H37" s="19">
        <f>D37*50/B37</f>
        <v>5.0000000000000001E-3</v>
      </c>
      <c r="I37" s="43"/>
      <c r="J37" s="18"/>
      <c r="K37" s="43"/>
      <c r="L37" s="9"/>
    </row>
    <row r="38" spans="1:14" ht="13.5" thickBot="1">
      <c r="A38" s="13"/>
      <c r="B38" s="22"/>
      <c r="C38" s="23"/>
      <c r="D38" s="23"/>
      <c r="E38" s="44">
        <v>-1957</v>
      </c>
      <c r="F38" s="30"/>
      <c r="G38" s="10"/>
      <c r="H38" s="24"/>
      <c r="I38" s="45"/>
      <c r="J38" s="25"/>
      <c r="K38" s="45"/>
      <c r="L38" s="11"/>
    </row>
    <row r="39" spans="1:14">
      <c r="A39" s="15">
        <f>A37+7</f>
        <v>42582</v>
      </c>
      <c r="B39" s="20">
        <f>C37+F37-G37</f>
        <v>2441.8099415596771</v>
      </c>
      <c r="C39" s="17">
        <f>B39+(B39*-0.0021)</f>
        <v>2436.682140682402</v>
      </c>
      <c r="D39" s="17">
        <f>B39/7000</f>
        <v>0.34882999165138245</v>
      </c>
      <c r="E39" s="35">
        <f>(C39-B39)/D39</f>
        <v>-14.699999999999504</v>
      </c>
      <c r="F39" s="18"/>
      <c r="G39" s="18"/>
      <c r="H39" s="19">
        <f>D39*50/B39</f>
        <v>7.1428571428571426E-3</v>
      </c>
      <c r="I39" s="43"/>
      <c r="J39" s="18"/>
      <c r="K39" s="43"/>
      <c r="L39" s="9"/>
    </row>
    <row r="40" spans="1:14">
      <c r="A40" s="15">
        <f>A39+7</f>
        <v>42589</v>
      </c>
      <c r="B40" s="20">
        <f>C39+F39-G39</f>
        <v>2436.682140682402</v>
      </c>
      <c r="C40" s="17">
        <f>B40+(B40*-0.05)</f>
        <v>2314.8480336482817</v>
      </c>
      <c r="D40" s="17">
        <f>B40/7000</f>
        <v>0.34809744866891457</v>
      </c>
      <c r="E40" s="35">
        <f>(C40-B40)/D40</f>
        <v>-350.00000000000051</v>
      </c>
      <c r="F40" s="18"/>
      <c r="G40" s="18"/>
      <c r="H40" s="19">
        <f>D40*50/B40</f>
        <v>7.1428571428571426E-3</v>
      </c>
      <c r="I40" s="43"/>
      <c r="J40" s="18"/>
      <c r="K40" s="43"/>
      <c r="L40" s="9"/>
    </row>
    <row r="41" spans="1:14">
      <c r="A41" s="15">
        <f>A40+7</f>
        <v>42596</v>
      </c>
      <c r="B41" s="20">
        <f>C40+F40-G40</f>
        <v>2314.8480336482817</v>
      </c>
      <c r="C41" s="17">
        <f>B41+(B41*-0.039)</f>
        <v>2224.5689603359988</v>
      </c>
      <c r="D41" s="17">
        <f>B41/7000</f>
        <v>0.33069257623546883</v>
      </c>
      <c r="E41" s="37">
        <f>(C41-B41)/D41</f>
        <v>-272.99999999999972</v>
      </c>
      <c r="F41" s="26"/>
      <c r="G41" s="18"/>
      <c r="H41" s="19">
        <f>D41*50/B41</f>
        <v>7.1428571428571435E-3</v>
      </c>
      <c r="I41" s="43"/>
      <c r="J41" s="18"/>
      <c r="K41" s="43"/>
      <c r="L41" s="9"/>
    </row>
    <row r="42" spans="1:14" ht="13" thickBot="1">
      <c r="A42" s="15">
        <f>A41+7</f>
        <v>42603</v>
      </c>
      <c r="B42" s="20">
        <f>C41+F41-G41</f>
        <v>2224.5689603359988</v>
      </c>
      <c r="C42" s="17">
        <f>B42+(B42*-0.035)</f>
        <v>2146.7090467242388</v>
      </c>
      <c r="D42" s="17">
        <f>B42/7000</f>
        <v>0.31779556576228551</v>
      </c>
      <c r="E42" s="35">
        <f>(C42-B42)/D42</f>
        <v>-245.00000000000023</v>
      </c>
      <c r="F42" s="26"/>
      <c r="G42" s="18"/>
      <c r="H42" s="19">
        <f>D42*50/B42</f>
        <v>7.1428571428571418E-3</v>
      </c>
      <c r="I42" s="43"/>
      <c r="J42" s="18"/>
      <c r="K42" s="43"/>
      <c r="L42" s="9"/>
    </row>
    <row r="43" spans="1:14" ht="13.5" thickBot="1">
      <c r="A43" s="13"/>
      <c r="B43" s="22"/>
      <c r="C43" s="23"/>
      <c r="D43" s="23"/>
      <c r="E43" s="44">
        <v>-883</v>
      </c>
      <c r="F43" s="30"/>
      <c r="G43" s="10"/>
      <c r="H43" s="24"/>
      <c r="I43" s="45"/>
      <c r="J43" s="25"/>
      <c r="K43" s="45"/>
      <c r="L43" s="11"/>
    </row>
    <row r="44" spans="1:14">
      <c r="A44" s="15">
        <f>A42+7</f>
        <v>42610</v>
      </c>
      <c r="B44" s="20">
        <f>C42+F42-G42</f>
        <v>2146.7090467242388</v>
      </c>
      <c r="C44" s="17">
        <f>B44+(B44*0.16)</f>
        <v>2490.1824942001172</v>
      </c>
      <c r="D44" s="17">
        <f>B44/7000</f>
        <v>0.30667272096060555</v>
      </c>
      <c r="E44" s="34">
        <f>(C44-B44)/D44</f>
        <v>1120.0000000000007</v>
      </c>
      <c r="F44" s="18">
        <v>3400</v>
      </c>
      <c r="G44" s="18"/>
      <c r="H44" s="19">
        <f>D44*50/B44</f>
        <v>7.1428571428571426E-3</v>
      </c>
      <c r="I44" s="43"/>
      <c r="J44" s="18"/>
      <c r="K44" s="43"/>
      <c r="L44" s="9"/>
    </row>
    <row r="45" spans="1:14">
      <c r="A45" s="15">
        <f>A44+7</f>
        <v>42617</v>
      </c>
      <c r="B45" s="20">
        <f>C44+F44-G44</f>
        <v>5890.1824942001167</v>
      </c>
      <c r="C45" s="17">
        <f>B45+(B45*0.128)</f>
        <v>6644.1258534577319</v>
      </c>
      <c r="D45" s="17">
        <f>B45/7000</f>
        <v>0.84145464202858811</v>
      </c>
      <c r="E45" s="34">
        <f>(C45-B45)/D45</f>
        <v>896.00000000000023</v>
      </c>
      <c r="F45" s="18"/>
      <c r="G45" s="18"/>
      <c r="H45" s="19">
        <f>D45*50/B45</f>
        <v>7.1428571428571426E-3</v>
      </c>
      <c r="I45" s="43"/>
      <c r="J45" s="18"/>
      <c r="K45" s="43"/>
      <c r="L45" s="9"/>
      <c r="M45" s="41" t="s">
        <v>31</v>
      </c>
      <c r="N45" s="31"/>
    </row>
    <row r="46" spans="1:14">
      <c r="A46" s="15">
        <f>A45+7</f>
        <v>42624</v>
      </c>
      <c r="B46" s="20">
        <f>C45+F45-G45</f>
        <v>6644.1258534577319</v>
      </c>
      <c r="C46" s="17">
        <f>B46+(B46*0.0724)</f>
        <v>7125.1605652480721</v>
      </c>
      <c r="D46" s="17">
        <f>B46/7000</f>
        <v>0.94916083620824743</v>
      </c>
      <c r="E46" s="34">
        <f>(C46-B46)/D46</f>
        <v>506.80000000000047</v>
      </c>
      <c r="F46" s="26"/>
      <c r="G46" s="18"/>
      <c r="H46" s="19">
        <f>D46*50/B46</f>
        <v>7.1428571428571426E-3</v>
      </c>
      <c r="I46" s="43"/>
      <c r="J46" s="18"/>
      <c r="K46" s="43"/>
      <c r="L46" s="9"/>
      <c r="M46" s="31"/>
      <c r="N46" s="31"/>
    </row>
    <row r="47" spans="1:14" ht="13" thickBot="1">
      <c r="A47" s="15">
        <f>A46+7</f>
        <v>42631</v>
      </c>
      <c r="B47" s="20">
        <f>C46+F46-G46</f>
        <v>7125.1605652480721</v>
      </c>
      <c r="C47" s="17">
        <f>B47+(B47*-0.17)</f>
        <v>5913.8832691559001</v>
      </c>
      <c r="D47" s="17">
        <f>B47/5000</f>
        <v>1.4250321130496144</v>
      </c>
      <c r="E47" s="35">
        <f>(C47-B47)/D47</f>
        <v>-849.99999999999989</v>
      </c>
      <c r="F47" s="26"/>
      <c r="G47" s="21">
        <v>500</v>
      </c>
      <c r="H47" s="19">
        <f>D47*50/B47</f>
        <v>0.01</v>
      </c>
      <c r="I47" s="43"/>
      <c r="J47" s="18"/>
      <c r="K47" s="43"/>
      <c r="L47" s="9"/>
      <c r="M47" s="31"/>
      <c r="N47" s="31"/>
    </row>
    <row r="48" spans="1:14" ht="13.5" thickBot="1">
      <c r="A48" s="13"/>
      <c r="B48" s="22"/>
      <c r="C48" s="23"/>
      <c r="D48" s="23"/>
      <c r="E48" s="44">
        <v>1673</v>
      </c>
      <c r="F48" s="30"/>
      <c r="G48" s="10"/>
      <c r="H48" s="24"/>
      <c r="I48" s="45"/>
      <c r="J48" s="25"/>
      <c r="K48" s="45"/>
      <c r="L48" s="11"/>
    </row>
    <row r="49" spans="1:14">
      <c r="A49" s="15">
        <f>A47+7</f>
        <v>42638</v>
      </c>
      <c r="B49" s="20">
        <f>C47+F47-G47</f>
        <v>5413.8832691559001</v>
      </c>
      <c r="C49" s="17">
        <f>B49+(B49*-0.26)</f>
        <v>4006.2736191753661</v>
      </c>
      <c r="D49" s="17">
        <f>B49/5000</f>
        <v>1.08277665383118</v>
      </c>
      <c r="E49" s="37">
        <f>(C49-B49)/D49</f>
        <v>-1300</v>
      </c>
      <c r="F49" s="18"/>
      <c r="G49" s="18"/>
      <c r="H49" s="19">
        <f>D49*50/B49</f>
        <v>0.01</v>
      </c>
      <c r="I49" s="43"/>
      <c r="J49" s="18"/>
      <c r="K49" s="43"/>
      <c r="L49" s="9"/>
    </row>
    <row r="50" spans="1:14">
      <c r="A50" s="15">
        <f>A49+7</f>
        <v>42645</v>
      </c>
      <c r="B50" s="20">
        <f>C49+F49-G49</f>
        <v>4006.2736191753661</v>
      </c>
      <c r="C50" s="17">
        <f>B50+(B50*0.17835)</f>
        <v>4720.7925191552931</v>
      </c>
      <c r="D50" s="17">
        <f>B50/4000</f>
        <v>1.0015684047938416</v>
      </c>
      <c r="E50" s="34">
        <f>(C50-B50)/D50</f>
        <v>713.40000000000043</v>
      </c>
      <c r="F50" s="18"/>
      <c r="G50" s="18"/>
      <c r="H50" s="19">
        <f>D50*50/B50</f>
        <v>1.2500000000000001E-2</v>
      </c>
      <c r="I50" s="59">
        <v>0.2</v>
      </c>
      <c r="J50" s="60" t="s">
        <v>26</v>
      </c>
      <c r="K50" s="59">
        <v>0.17</v>
      </c>
      <c r="L50" s="9"/>
      <c r="M50" s="31"/>
      <c r="N50" s="31"/>
    </row>
    <row r="51" spans="1:14">
      <c r="A51" s="15">
        <f>A50+7</f>
        <v>42652</v>
      </c>
      <c r="B51" s="20">
        <f>C50+F50-G50</f>
        <v>4720.7925191552931</v>
      </c>
      <c r="C51" s="17">
        <f>B51+(B51*0.19)</f>
        <v>5617.7430977947988</v>
      </c>
      <c r="D51" s="17">
        <f>B51/4000</f>
        <v>1.1801981297888233</v>
      </c>
      <c r="E51" s="34">
        <f>(C51-B51)/D51</f>
        <v>760</v>
      </c>
      <c r="F51" s="26"/>
      <c r="G51" s="18"/>
      <c r="H51" s="19">
        <f>D51*50/B51</f>
        <v>1.2500000000000001E-2</v>
      </c>
      <c r="I51" s="59">
        <v>0.22</v>
      </c>
      <c r="J51" s="60" t="s">
        <v>29</v>
      </c>
      <c r="K51" s="59">
        <v>0.19</v>
      </c>
      <c r="L51" s="9"/>
      <c r="M51" s="31"/>
      <c r="N51" s="31"/>
    </row>
    <row r="52" spans="1:14" s="1" customFormat="1" ht="13" thickBot="1">
      <c r="A52" s="15">
        <f>A51+7</f>
        <v>42659</v>
      </c>
      <c r="B52" s="20">
        <f>C51+F51-G51</f>
        <v>5617.7430977947988</v>
      </c>
      <c r="C52" s="17">
        <f>B52+(B52*0.085)</f>
        <v>6095.2512611073571</v>
      </c>
      <c r="D52" s="17">
        <f>B52/4000</f>
        <v>1.4044357744486997</v>
      </c>
      <c r="E52" s="34">
        <f>(C52-B52)/D52</f>
        <v>340.00000000000028</v>
      </c>
      <c r="F52" s="26"/>
      <c r="G52" s="18"/>
      <c r="H52" s="19">
        <f>D52*50/B52</f>
        <v>1.2499999999999999E-2</v>
      </c>
      <c r="I52" s="59">
        <v>0.1</v>
      </c>
      <c r="J52" s="60" t="s">
        <v>26</v>
      </c>
      <c r="K52" s="59">
        <v>0.08</v>
      </c>
      <c r="L52" s="9"/>
      <c r="M52" s="31"/>
      <c r="N52" s="31"/>
    </row>
    <row r="53" spans="1:14" ht="13.5" thickBot="1">
      <c r="A53" s="13"/>
      <c r="B53" s="22"/>
      <c r="C53" s="23"/>
      <c r="D53" s="23"/>
      <c r="E53" s="44">
        <v>513</v>
      </c>
      <c r="F53" s="30"/>
      <c r="G53" s="10"/>
      <c r="H53" s="24"/>
      <c r="I53" s="45"/>
      <c r="J53" s="25"/>
      <c r="K53" s="45"/>
      <c r="L53" s="11"/>
    </row>
    <row r="54" spans="1:14">
      <c r="A54" s="15">
        <f>A52+7</f>
        <v>42666</v>
      </c>
      <c r="B54" s="20">
        <f>C52+F52-G52</f>
        <v>6095.2512611073571</v>
      </c>
      <c r="C54" s="17">
        <f>B54+(B54*-0.053)</f>
        <v>5772.2029442686671</v>
      </c>
      <c r="D54" s="17">
        <f>B54/4000</f>
        <v>1.5238128152768393</v>
      </c>
      <c r="E54" s="34">
        <f>(C54-B54)/D54</f>
        <v>-212.00000000000003</v>
      </c>
      <c r="F54" s="18"/>
      <c r="G54" s="21">
        <v>350</v>
      </c>
      <c r="H54" s="19">
        <f>D54*50/B54</f>
        <v>1.2500000000000001E-2</v>
      </c>
      <c r="I54" s="59">
        <v>0.1</v>
      </c>
      <c r="J54" s="60" t="s">
        <v>0</v>
      </c>
      <c r="K54" s="61">
        <v>-0.05</v>
      </c>
      <c r="L54" s="9"/>
    </row>
    <row r="55" spans="1:14">
      <c r="A55" s="15">
        <f>A54+7</f>
        <v>42673</v>
      </c>
      <c r="B55" s="20">
        <f>C54+F54-G54</f>
        <v>5422.2029442686671</v>
      </c>
      <c r="C55" s="17">
        <f>B55+(B55*0.255)</f>
        <v>6804.8646950571774</v>
      </c>
      <c r="D55" s="17">
        <f>B55/4000</f>
        <v>1.3555507360671668</v>
      </c>
      <c r="E55" s="34">
        <f>(C55-B55)/D55</f>
        <v>1020.0000000000001</v>
      </c>
      <c r="F55" s="18"/>
      <c r="G55" s="21">
        <v>108</v>
      </c>
      <c r="H55" s="19">
        <f>D55*50/B55</f>
        <v>1.2500000000000001E-2</v>
      </c>
      <c r="I55" s="59">
        <v>0.3</v>
      </c>
      <c r="J55" s="60" t="s">
        <v>29</v>
      </c>
      <c r="K55" s="59">
        <v>0.25</v>
      </c>
      <c r="L55" s="9"/>
      <c r="M55" s="31"/>
      <c r="N55" s="31"/>
    </row>
    <row r="56" spans="1:14">
      <c r="A56" s="15">
        <f>A55+7</f>
        <v>42680</v>
      </c>
      <c r="B56" s="20">
        <f>C55+F55-G55</f>
        <v>6696.8646950571774</v>
      </c>
      <c r="C56" s="17">
        <f>B56+(B56*0.043)</f>
        <v>6984.8298769446355</v>
      </c>
      <c r="D56" s="17">
        <f>B56/3250</f>
        <v>2.0605737523252854</v>
      </c>
      <c r="E56" s="34">
        <f>(C56-B56)/D56</f>
        <v>139.74999999999974</v>
      </c>
      <c r="F56" s="26"/>
      <c r="G56" s="21">
        <f>D56*50</f>
        <v>103.02868761626426</v>
      </c>
      <c r="H56" s="19">
        <f>D56*50/B56</f>
        <v>1.5384615384615384E-2</v>
      </c>
      <c r="I56" s="59">
        <v>0.15</v>
      </c>
      <c r="J56" s="60" t="s">
        <v>29</v>
      </c>
      <c r="K56" s="59">
        <v>0.04</v>
      </c>
      <c r="L56" s="9"/>
      <c r="M56" s="31"/>
      <c r="N56" s="31"/>
    </row>
    <row r="57" spans="1:14" ht="13" thickBot="1">
      <c r="A57" s="15">
        <f>A56+7</f>
        <v>42687</v>
      </c>
      <c r="B57" s="20">
        <f>C56+F56-G56</f>
        <v>6881.801189328371</v>
      </c>
      <c r="C57" s="17">
        <f>B57+(B57*0.14)</f>
        <v>7845.253355834343</v>
      </c>
      <c r="D57" s="17">
        <f>B57/3250</f>
        <v>2.117477289024114</v>
      </c>
      <c r="E57" s="34">
        <f>(C57-B57)/D57</f>
        <v>455.00000000000006</v>
      </c>
      <c r="F57" s="26"/>
      <c r="G57" s="21">
        <v>103</v>
      </c>
      <c r="H57" s="19">
        <f>D57*50/B57</f>
        <v>1.5384615384615384E-2</v>
      </c>
      <c r="I57" s="59">
        <v>0.14000000000000001</v>
      </c>
      <c r="J57" s="60" t="s">
        <v>29</v>
      </c>
      <c r="K57" s="59">
        <v>0.14000000000000001</v>
      </c>
      <c r="L57" s="9"/>
      <c r="M57" s="31"/>
      <c r="N57" s="31"/>
    </row>
    <row r="58" spans="1:14" ht="13.5" thickBot="1">
      <c r="A58" s="13"/>
      <c r="B58" s="22"/>
      <c r="C58" s="23"/>
      <c r="D58" s="23"/>
      <c r="E58" s="44">
        <v>1403</v>
      </c>
      <c r="F58" s="30"/>
      <c r="G58" s="10"/>
      <c r="H58" s="24"/>
      <c r="I58" s="45"/>
      <c r="J58" s="25"/>
      <c r="K58" s="45"/>
      <c r="L58" s="11"/>
    </row>
    <row r="59" spans="1:14">
      <c r="A59" s="15">
        <f>A57+7</f>
        <v>42694</v>
      </c>
      <c r="B59" s="20">
        <f>C57+F57-G57</f>
        <v>7742.253355834343</v>
      </c>
      <c r="C59" s="17">
        <f>B59+(B59*0.075)</f>
        <v>8322.9223575219185</v>
      </c>
      <c r="D59" s="17">
        <f>B59/3250</f>
        <v>2.3822318017951822</v>
      </c>
      <c r="E59" s="34">
        <f>(C59-B59)/D59</f>
        <v>243.74999999999991</v>
      </c>
      <c r="F59" s="18"/>
      <c r="G59" s="21">
        <v>112</v>
      </c>
      <c r="H59" s="19">
        <f>D59*50/B59</f>
        <v>1.5384615384615384E-2</v>
      </c>
      <c r="I59" s="59">
        <v>7.0000000000000007E-2</v>
      </c>
      <c r="J59" s="60" t="s">
        <v>32</v>
      </c>
      <c r="K59" s="59">
        <v>7.0000000000000007E-2</v>
      </c>
      <c r="L59" s="9"/>
    </row>
    <row r="60" spans="1:14">
      <c r="A60" s="15">
        <f>A59+7</f>
        <v>42701</v>
      </c>
      <c r="B60" s="20">
        <f>C59+F59-G59</f>
        <v>8210.9223575219185</v>
      </c>
      <c r="C60" s="17">
        <f>B60+(B60*-0.1780035)</f>
        <v>6749.3494396547658</v>
      </c>
      <c r="D60" s="17">
        <f>B60/3250</f>
        <v>2.5264376484682827</v>
      </c>
      <c r="E60" s="35">
        <f>(C60-B60)/D60</f>
        <v>-578.51137499999993</v>
      </c>
      <c r="F60" s="18"/>
      <c r="G60" s="21"/>
      <c r="H60" s="19">
        <f>D60*50/B60</f>
        <v>1.5384615384615385E-2</v>
      </c>
      <c r="I60" s="61">
        <v>-0.17</v>
      </c>
      <c r="J60" s="60" t="s">
        <v>32</v>
      </c>
      <c r="K60" s="61">
        <v>-0.17</v>
      </c>
      <c r="L60" s="9"/>
      <c r="M60" s="31"/>
      <c r="N60" s="31"/>
    </row>
    <row r="61" spans="1:14">
      <c r="A61" s="15">
        <f>A60+7</f>
        <v>42708</v>
      </c>
      <c r="B61" s="20">
        <f>C60+F60-G60</f>
        <v>6749.3494396547658</v>
      </c>
      <c r="C61" s="17">
        <f>B61+(B61*0.0164)</f>
        <v>6860.0387704651039</v>
      </c>
      <c r="D61" s="17">
        <f>B61/3250</f>
        <v>2.0767229045091589</v>
      </c>
      <c r="E61" s="34">
        <f>(C61-B61)/D61</f>
        <v>53.299999999999969</v>
      </c>
      <c r="F61" s="26"/>
      <c r="G61" s="21">
        <v>100</v>
      </c>
      <c r="H61" s="19">
        <f>D61*50/B61</f>
        <v>1.5384615384615385E-2</v>
      </c>
      <c r="I61" s="59">
        <v>7.0000000000000007E-2</v>
      </c>
      <c r="J61" s="60" t="s">
        <v>26</v>
      </c>
      <c r="K61" s="59">
        <v>0.01</v>
      </c>
      <c r="L61" s="9"/>
      <c r="M61" s="31"/>
      <c r="N61" s="31"/>
    </row>
    <row r="62" spans="1:14" ht="13" thickBot="1">
      <c r="A62" s="15">
        <f>A61+7</f>
        <v>42715</v>
      </c>
      <c r="B62" s="20">
        <f>C61+F61-G61</f>
        <v>6760.0387704651039</v>
      </c>
      <c r="C62" s="17">
        <f>B62+(B62*-0.17985)</f>
        <v>5544.2457975969546</v>
      </c>
      <c r="D62" s="17">
        <f>B62/3250</f>
        <v>2.0800119293738781</v>
      </c>
      <c r="E62" s="28">
        <f>(C62-B62)/D62</f>
        <v>-584.51250000000016</v>
      </c>
      <c r="F62" s="26"/>
      <c r="G62" s="18"/>
      <c r="H62" s="19">
        <f>D62*50/B62</f>
        <v>1.5384615384615385E-2</v>
      </c>
      <c r="I62" s="59">
        <v>0.1</v>
      </c>
      <c r="J62" s="60" t="s">
        <v>0</v>
      </c>
      <c r="K62" s="61">
        <v>-0.18</v>
      </c>
      <c r="L62" s="9"/>
      <c r="M62" s="31"/>
      <c r="N62" s="31"/>
    </row>
    <row r="63" spans="1:14" ht="13.5" thickBot="1">
      <c r="A63" s="13"/>
      <c r="B63" s="22"/>
      <c r="C63" s="23"/>
      <c r="D63" s="23"/>
      <c r="E63" s="44">
        <v>-866</v>
      </c>
      <c r="F63" s="30"/>
      <c r="G63" s="10"/>
      <c r="H63" s="24"/>
      <c r="I63" s="45"/>
      <c r="J63" s="25"/>
      <c r="K63" s="45"/>
      <c r="L63" s="11"/>
    </row>
    <row r="64" spans="1:14">
      <c r="A64" s="15">
        <f>A62+7</f>
        <v>42722</v>
      </c>
      <c r="B64" s="20">
        <f>C62+F62-G62</f>
        <v>5544.2457975969546</v>
      </c>
      <c r="C64" s="17">
        <f>B64+(B64*0.07)</f>
        <v>5932.3430034287412</v>
      </c>
      <c r="D64" s="17">
        <f>B64/3250</f>
        <v>1.7059217838759861</v>
      </c>
      <c r="E64" s="34">
        <f>(C64-B64)/D64</f>
        <v>227.49999999999986</v>
      </c>
      <c r="F64" s="18"/>
      <c r="G64" s="18"/>
      <c r="H64" s="19">
        <f>D64*50/B64</f>
        <v>1.5384615384615385E-2</v>
      </c>
      <c r="I64" s="59">
        <v>7.0000000000000007E-2</v>
      </c>
      <c r="J64" s="60" t="s">
        <v>32</v>
      </c>
      <c r="K64" s="59">
        <v>7.0000000000000007E-2</v>
      </c>
      <c r="L64" s="9"/>
    </row>
    <row r="65" spans="1:14">
      <c r="A65" s="15">
        <f>A64+7</f>
        <v>42729</v>
      </c>
      <c r="B65" s="20">
        <f>C64+F64-G64</f>
        <v>5932.3430034287412</v>
      </c>
      <c r="C65" s="17">
        <f>B65+(B65*-0.0815)</f>
        <v>5448.857048649299</v>
      </c>
      <c r="D65" s="17">
        <f>B65/3250</f>
        <v>1.8253363087473049</v>
      </c>
      <c r="E65" s="37">
        <f>(C65-B65)/D65</f>
        <v>-264.87499999999989</v>
      </c>
      <c r="F65" s="18"/>
      <c r="G65" s="18"/>
      <c r="H65" s="19">
        <f>D65*50/B65</f>
        <v>1.5384615384615382E-2</v>
      </c>
      <c r="I65" s="59">
        <v>0.04</v>
      </c>
      <c r="J65" s="60" t="s">
        <v>26</v>
      </c>
      <c r="K65" s="61">
        <v>-0.08</v>
      </c>
      <c r="L65" s="9"/>
      <c r="M65" s="31"/>
      <c r="N65" s="31"/>
    </row>
    <row r="66" spans="1:14">
      <c r="A66" s="15">
        <f>A65+7</f>
        <v>42736</v>
      </c>
      <c r="B66" s="20">
        <f>C65+F65-G65</f>
        <v>5448.857048649299</v>
      </c>
      <c r="C66" s="17">
        <f>B66+(B66*-0.096)</f>
        <v>4925.7667719789661</v>
      </c>
      <c r="D66" s="17">
        <f>B66/3250</f>
        <v>1.6765713995843996</v>
      </c>
      <c r="E66" s="35">
        <f>(C66-B66)/D66</f>
        <v>-312.00000000000017</v>
      </c>
      <c r="F66" s="26"/>
      <c r="G66" s="18"/>
      <c r="H66" s="19">
        <f>D66*50/B66</f>
        <v>1.5384615384615384E-2</v>
      </c>
      <c r="I66" s="59">
        <v>0.03</v>
      </c>
      <c r="J66" s="60" t="s">
        <v>32</v>
      </c>
      <c r="K66" s="61">
        <v>-0.09</v>
      </c>
      <c r="L66" s="9"/>
      <c r="M66" s="31"/>
      <c r="N66" s="31"/>
    </row>
    <row r="67" spans="1:14" ht="13" thickBot="1">
      <c r="A67" s="15">
        <f>A66+7</f>
        <v>42743</v>
      </c>
      <c r="B67" s="20">
        <f>C66+F66-G66</f>
        <v>4925.7667719789661</v>
      </c>
      <c r="C67" s="17">
        <f>B67+(B67*-0.0311)</f>
        <v>4772.5754253704199</v>
      </c>
      <c r="D67" s="17">
        <f>B67/3250</f>
        <v>1.5156205452242972</v>
      </c>
      <c r="E67" s="37">
        <f>(C67-B67)/D67</f>
        <v>-101.0750000000002</v>
      </c>
      <c r="F67" s="26"/>
      <c r="G67" s="18"/>
      <c r="H67" s="19">
        <f>D67*50/B67</f>
        <v>1.5384615384615384E-2</v>
      </c>
      <c r="I67" s="59">
        <v>7.0000000000000007E-2</v>
      </c>
      <c r="J67" s="60" t="s">
        <v>28</v>
      </c>
      <c r="K67" s="61">
        <v>-0.03</v>
      </c>
      <c r="L67" s="9"/>
      <c r="M67" s="31"/>
      <c r="N67" s="31"/>
    </row>
    <row r="68" spans="1:14" ht="13.5" thickBot="1">
      <c r="A68" s="13"/>
      <c r="B68" s="22"/>
      <c r="C68" s="23"/>
      <c r="D68" s="23"/>
      <c r="E68" s="44">
        <v>-450</v>
      </c>
      <c r="F68" s="30"/>
      <c r="G68" s="10"/>
      <c r="H68" s="24"/>
      <c r="I68" s="45"/>
      <c r="J68" s="25"/>
      <c r="K68" s="45"/>
      <c r="L68" s="11"/>
    </row>
    <row r="69" spans="1:14" ht="14.5">
      <c r="A69" s="46">
        <f>A67+7</f>
        <v>42750</v>
      </c>
      <c r="B69" s="47">
        <f>C67+F67-G67</f>
        <v>4772.5754253704199</v>
      </c>
      <c r="C69" s="48">
        <f>B69+(B69*-0.02)</f>
        <v>4677.1239168630118</v>
      </c>
      <c r="D69" s="48">
        <f>B69/3000</f>
        <v>1.5908584751234733</v>
      </c>
      <c r="E69" s="37">
        <f>(C69-B69)/D69</f>
        <v>-59.999999999999815</v>
      </c>
      <c r="F69" s="18"/>
      <c r="G69" s="18">
        <v>3820</v>
      </c>
      <c r="H69" s="49">
        <f>D69*50/B69</f>
        <v>1.6666666666666666E-2</v>
      </c>
      <c r="I69" s="61">
        <v>-0.02</v>
      </c>
      <c r="J69" s="60" t="s">
        <v>0</v>
      </c>
      <c r="K69" s="61">
        <v>-0.02</v>
      </c>
      <c r="L69" s="53"/>
      <c r="M69" s="12" t="s">
        <v>33</v>
      </c>
    </row>
    <row r="70" spans="1:14">
      <c r="A70" s="15">
        <f>A69+7</f>
        <v>42757</v>
      </c>
      <c r="B70" s="20">
        <f>C69+F69-G69</f>
        <v>857.1239168630118</v>
      </c>
      <c r="C70" s="17">
        <f>B70+(B70*0.036)</f>
        <v>887.98037787008025</v>
      </c>
      <c r="D70" s="17">
        <f>B70/3000</f>
        <v>0.28570797228767059</v>
      </c>
      <c r="E70" s="34">
        <f>(C70-B70)/D70</f>
        <v>108.00000000000009</v>
      </c>
      <c r="F70" s="18"/>
      <c r="G70" s="18"/>
      <c r="H70" s="19">
        <f>D70*50/B70</f>
        <v>1.6666666666666666E-2</v>
      </c>
      <c r="I70" s="59">
        <v>0.11</v>
      </c>
      <c r="J70" s="60" t="s">
        <v>28</v>
      </c>
      <c r="K70" s="59">
        <v>0.05</v>
      </c>
      <c r="L70" s="9"/>
      <c r="M70" s="31"/>
      <c r="N70" s="31"/>
    </row>
    <row r="71" spans="1:14">
      <c r="A71" s="15">
        <f>A70+7</f>
        <v>42764</v>
      </c>
      <c r="B71" s="20">
        <f>C70+F70-G70</f>
        <v>887.98037787008025</v>
      </c>
      <c r="C71" s="17">
        <f>B71+(B71*-0.0015)</f>
        <v>886.64840730327512</v>
      </c>
      <c r="D71" s="17">
        <f>B71/3000</f>
        <v>0.29599345929002674</v>
      </c>
      <c r="E71" s="28">
        <f>(C71-B71)/D71</f>
        <v>-4.5000000000000178</v>
      </c>
      <c r="F71" s="26"/>
      <c r="G71" s="18"/>
      <c r="H71" s="19">
        <f>D71*50/B71</f>
        <v>1.6666666666666666E-2</v>
      </c>
      <c r="I71" s="59">
        <v>0.04</v>
      </c>
      <c r="J71" s="60" t="s">
        <v>29</v>
      </c>
      <c r="K71" s="61">
        <v>-0.01</v>
      </c>
      <c r="L71" s="9"/>
      <c r="M71" s="31"/>
      <c r="N71" s="31"/>
    </row>
    <row r="72" spans="1:14" ht="13" thickBot="1">
      <c r="A72" s="15">
        <f>A71+7</f>
        <v>42771</v>
      </c>
      <c r="B72" s="20">
        <f>C71+F71-G71</f>
        <v>886.64840730327512</v>
      </c>
      <c r="C72" s="17">
        <f>B72+(B72*-0.053)</f>
        <v>839.65604171620157</v>
      </c>
      <c r="D72" s="17">
        <f>B72/3000</f>
        <v>0.2955494691010917</v>
      </c>
      <c r="E72" s="28">
        <f>(C72-B72)/D72</f>
        <v>-158.99999999999989</v>
      </c>
      <c r="F72" s="26"/>
      <c r="G72" s="18"/>
      <c r="H72" s="19">
        <f>D72*50/B72</f>
        <v>1.6666666666666666E-2</v>
      </c>
      <c r="I72" s="59">
        <v>0.1</v>
      </c>
      <c r="J72" s="60" t="s">
        <v>32</v>
      </c>
      <c r="K72" s="61">
        <v>-0.05</v>
      </c>
      <c r="L72" s="9"/>
      <c r="M72" s="31"/>
      <c r="N72" s="31"/>
    </row>
    <row r="73" spans="1:14" ht="13.5" thickBot="1">
      <c r="A73" s="13"/>
      <c r="B73" s="22"/>
      <c r="C73" s="23"/>
      <c r="D73" s="23"/>
      <c r="E73" s="44"/>
      <c r="F73" s="30"/>
      <c r="G73" s="10"/>
      <c r="H73" s="24"/>
      <c r="I73" s="45"/>
      <c r="J73" s="25"/>
      <c r="K73" s="45"/>
      <c r="L73" s="11"/>
    </row>
    <row r="74" spans="1:14">
      <c r="A74" s="64">
        <f>A72+7</f>
        <v>42778</v>
      </c>
      <c r="B74" s="65">
        <f>C72+F72-G72</f>
        <v>839.65604171620157</v>
      </c>
      <c r="C74" s="66">
        <f>B74+(B74*0.05)</f>
        <v>881.63884380201171</v>
      </c>
      <c r="D74" s="66">
        <f>B74/3000</f>
        <v>0.27988534723873387</v>
      </c>
      <c r="E74" s="71">
        <f>(C74-B74)/D74</f>
        <v>150.0000000000002</v>
      </c>
      <c r="F74" s="67">
        <v>700</v>
      </c>
      <c r="G74" s="68"/>
      <c r="H74" s="69">
        <f>D74*50/B74</f>
        <v>1.6666666666666666E-2</v>
      </c>
      <c r="I74" s="43"/>
      <c r="J74" s="60" t="s">
        <v>29</v>
      </c>
      <c r="K74" s="59">
        <v>0.05</v>
      </c>
      <c r="L74" s="70"/>
      <c r="M74" s="41" t="s">
        <v>34</v>
      </c>
      <c r="N74" s="31"/>
    </row>
    <row r="75" spans="1:14">
      <c r="A75" s="15">
        <f>A74+7</f>
        <v>42785</v>
      </c>
      <c r="B75" s="20">
        <f>C74+F74-G74</f>
        <v>1581.6388438020117</v>
      </c>
      <c r="C75" s="17">
        <f>B75+(B75*0.05)</f>
        <v>1660.7207859921123</v>
      </c>
      <c r="D75" s="17">
        <f>B75/3000</f>
        <v>0.52721294793400386</v>
      </c>
      <c r="E75" s="34">
        <f>(C75-B75)/D75</f>
        <v>149.99999999999997</v>
      </c>
      <c r="F75" s="18"/>
      <c r="G75" s="18"/>
      <c r="H75" s="19">
        <f>D75*50/B75</f>
        <v>1.6666666666666666E-2</v>
      </c>
      <c r="I75" s="43"/>
      <c r="J75" s="60" t="s">
        <v>0</v>
      </c>
      <c r="K75" s="59">
        <v>0.05</v>
      </c>
      <c r="L75" s="9"/>
      <c r="M75" s="31"/>
      <c r="N75" s="31"/>
    </row>
    <row r="76" spans="1:14">
      <c r="A76" s="15">
        <f>A75+7</f>
        <v>42792</v>
      </c>
      <c r="B76" s="20">
        <f>C75+F75-G75</f>
        <v>1660.7207859921123</v>
      </c>
      <c r="C76" s="17">
        <f>B76+(B76*-0.31)</f>
        <v>1145.8973423345574</v>
      </c>
      <c r="D76" s="17">
        <f>B76/3000</f>
        <v>0.55357359533070405</v>
      </c>
      <c r="E76" s="37">
        <f>(C76-B76)/D76</f>
        <v>-930.00000000000023</v>
      </c>
      <c r="F76" s="26"/>
      <c r="G76" s="18"/>
      <c r="H76" s="19">
        <f>D76*50/B76</f>
        <v>1.6666666666666666E-2</v>
      </c>
      <c r="I76" s="43"/>
      <c r="J76" s="60" t="s">
        <v>32</v>
      </c>
      <c r="K76" s="61">
        <v>-0.31</v>
      </c>
      <c r="L76" s="9"/>
      <c r="M76" s="31"/>
      <c r="N76" s="31"/>
    </row>
    <row r="77" spans="1:14" ht="13" thickBot="1">
      <c r="A77" s="15">
        <f>A76+7</f>
        <v>42799</v>
      </c>
      <c r="B77" s="20">
        <f>C76+F76-G76</f>
        <v>1145.8973423345574</v>
      </c>
      <c r="C77" s="17">
        <f>B77+(B77*-0.05)</f>
        <v>1088.6024752178296</v>
      </c>
      <c r="D77" s="17">
        <f>B77/2500</f>
        <v>0.45835893693382296</v>
      </c>
      <c r="E77" s="37">
        <f>(C77-B77)/D77</f>
        <v>-124.99999999999984</v>
      </c>
      <c r="F77" s="26">
        <v>250</v>
      </c>
      <c r="G77" s="18"/>
      <c r="H77" s="19">
        <f>D77*50/B77</f>
        <v>0.02</v>
      </c>
      <c r="I77" s="43"/>
      <c r="J77" s="60" t="s">
        <v>32</v>
      </c>
      <c r="K77" s="61">
        <v>-0.05</v>
      </c>
      <c r="L77" s="9"/>
      <c r="M77" s="72"/>
      <c r="N77" s="31"/>
    </row>
    <row r="78" spans="1:14" ht="13" thickBot="1">
      <c r="A78" s="13"/>
      <c r="B78" s="22"/>
      <c r="C78" s="23"/>
      <c r="D78" s="23"/>
      <c r="E78" s="27"/>
      <c r="F78" s="30"/>
      <c r="G78" s="10"/>
      <c r="H78" s="24"/>
      <c r="I78" s="45"/>
      <c r="J78" s="25"/>
      <c r="K78" s="45"/>
      <c r="L78" s="11"/>
    </row>
    <row r="79" spans="1:14">
      <c r="A79" s="15">
        <f>A77+7</f>
        <v>42806</v>
      </c>
      <c r="B79" s="20">
        <f>C77+F77-G77</f>
        <v>1338.6024752178296</v>
      </c>
      <c r="C79" s="17">
        <f>B79+(B79*0.108)</f>
        <v>1483.1715425413552</v>
      </c>
      <c r="D79" s="17">
        <f>B79/2500</f>
        <v>0.53544099008713186</v>
      </c>
      <c r="E79" s="34">
        <f>(C79-B79)/D79</f>
        <v>269.99999999999994</v>
      </c>
      <c r="F79" s="18">
        <v>250</v>
      </c>
      <c r="G79" s="18"/>
      <c r="H79" s="19">
        <f>D79*50/B79</f>
        <v>2.0000000000000004E-2</v>
      </c>
      <c r="I79" s="43"/>
      <c r="J79" s="18"/>
      <c r="K79" s="43"/>
      <c r="L79" s="9"/>
      <c r="M79" s="73" t="s">
        <v>43</v>
      </c>
    </row>
    <row r="80" spans="1:14">
      <c r="A80" s="15">
        <f>A79+7</f>
        <v>42813</v>
      </c>
      <c r="B80" s="20">
        <f>C79+F79-G79</f>
        <v>1733.1715425413552</v>
      </c>
      <c r="C80" s="17">
        <f>B80+(B80*0.05)</f>
        <v>1819.8301196684229</v>
      </c>
      <c r="D80" s="17">
        <f>B80/2500</f>
        <v>0.69326861701654208</v>
      </c>
      <c r="E80" s="34">
        <f>(C80-B80)/D80</f>
        <v>124.99999999999991</v>
      </c>
      <c r="F80" s="18"/>
      <c r="G80" s="18"/>
      <c r="H80" s="19">
        <f>D80*50/B80</f>
        <v>0.02</v>
      </c>
      <c r="I80" s="43"/>
      <c r="J80" s="18"/>
      <c r="K80" s="43"/>
      <c r="L80" s="9"/>
      <c r="M80" s="31"/>
      <c r="N80" s="31"/>
    </row>
    <row r="81" spans="1:14">
      <c r="A81" s="15">
        <f>A80+7</f>
        <v>42820</v>
      </c>
      <c r="B81" s="20">
        <f>C80+F80-G80</f>
        <v>1819.8301196684229</v>
      </c>
      <c r="C81" s="17">
        <f>B81+(B81*0.01)</f>
        <v>1838.0284208651071</v>
      </c>
      <c r="D81" s="17">
        <f>B81/2500</f>
        <v>0.72793204786736909</v>
      </c>
      <c r="E81" s="34">
        <f>(C81-B81)/D81</f>
        <v>25.000000000000057</v>
      </c>
      <c r="F81" s="26"/>
      <c r="G81" s="18"/>
      <c r="H81" s="19">
        <f>D81*50/B81</f>
        <v>1.9999999999999997E-2</v>
      </c>
      <c r="I81" s="43"/>
      <c r="J81" s="18"/>
      <c r="K81" s="43"/>
      <c r="L81" s="9"/>
      <c r="M81" s="31"/>
      <c r="N81" s="31"/>
    </row>
    <row r="82" spans="1:14" ht="13" thickBot="1">
      <c r="A82" s="15">
        <f>A81+7</f>
        <v>42827</v>
      </c>
      <c r="B82" s="20">
        <f>C81+F81-G81</f>
        <v>1838.0284208651071</v>
      </c>
      <c r="C82" s="17">
        <f>B82+(B82*-0.17042)</f>
        <v>1524.7916173812755</v>
      </c>
      <c r="D82" s="17">
        <f>B82/2500</f>
        <v>0.73521136834604284</v>
      </c>
      <c r="E82" s="35">
        <f>(C82-B82)/D82</f>
        <v>-426.05000000000013</v>
      </c>
      <c r="F82" s="26"/>
      <c r="G82" s="18"/>
      <c r="H82" s="19">
        <f>D82*50/B82</f>
        <v>1.9999999999999997E-2</v>
      </c>
      <c r="I82" s="43"/>
      <c r="J82" s="18"/>
      <c r="K82" s="43"/>
      <c r="L82" s="9"/>
      <c r="M82" s="31"/>
      <c r="N82" s="31"/>
    </row>
    <row r="83" spans="1:14" ht="19" thickBot="1">
      <c r="A83" s="111" t="s">
        <v>45</v>
      </c>
      <c r="B83" s="112"/>
      <c r="C83" s="112"/>
      <c r="D83" s="112"/>
      <c r="E83" s="112"/>
      <c r="F83" s="112"/>
      <c r="G83" s="112"/>
      <c r="H83" s="112"/>
      <c r="I83" s="112"/>
      <c r="J83" s="112"/>
      <c r="K83" s="112"/>
      <c r="L83" s="113"/>
      <c r="M83" s="31"/>
    </row>
    <row r="84" spans="1:14">
      <c r="A84" s="15">
        <f>A82+7</f>
        <v>42834</v>
      </c>
      <c r="B84" s="20">
        <f>C82+F82-G82</f>
        <v>1524.7916173812755</v>
      </c>
      <c r="C84" s="17">
        <f>B84+(B84*0.115)</f>
        <v>1700.1426533801223</v>
      </c>
      <c r="D84" s="17">
        <f>B84/2500</f>
        <v>0.60991664695251024</v>
      </c>
      <c r="E84" s="34">
        <f>(C84-B84)/D84</f>
        <v>287.50000000000017</v>
      </c>
      <c r="F84" s="18"/>
      <c r="G84" s="18"/>
      <c r="H84" s="19">
        <f>D84*50/B84</f>
        <v>0.02</v>
      </c>
      <c r="I84" s="43"/>
      <c r="J84" s="18"/>
      <c r="K84" s="43"/>
      <c r="L84" s="9"/>
      <c r="M84" s="31"/>
    </row>
    <row r="85" spans="1:14">
      <c r="A85" s="15">
        <f>A84+7</f>
        <v>42841</v>
      </c>
      <c r="B85" s="20">
        <f>C84+F84-G84</f>
        <v>1700.1426533801223</v>
      </c>
      <c r="C85" s="17">
        <f>B85+(B85*0.025)</f>
        <v>1742.6462197146254</v>
      </c>
      <c r="D85" s="17">
        <f>B85/2500</f>
        <v>0.68005706135204891</v>
      </c>
      <c r="E85" s="34">
        <f>(C85-B85)/D85</f>
        <v>62.500000000000135</v>
      </c>
      <c r="F85" s="18"/>
      <c r="G85" s="18"/>
      <c r="H85" s="19">
        <f>D85*50/B85</f>
        <v>0.02</v>
      </c>
      <c r="I85" s="43"/>
      <c r="J85" s="18"/>
      <c r="K85" s="43"/>
      <c r="L85" s="9"/>
      <c r="M85" s="31"/>
      <c r="N85" s="31"/>
    </row>
    <row r="86" spans="1:14">
      <c r="A86" s="15">
        <f>A85+7</f>
        <v>42848</v>
      </c>
      <c r="B86" s="20">
        <f>C85+F85-G85</f>
        <v>1742.6462197146254</v>
      </c>
      <c r="C86" s="17">
        <f>B86+(B86*0.07251)</f>
        <v>1869.0054971061329</v>
      </c>
      <c r="D86" s="17">
        <f>B86/2500</f>
        <v>0.69705848788585012</v>
      </c>
      <c r="E86" s="34">
        <f>(C86-B86)/D86</f>
        <v>181.27500000000001</v>
      </c>
      <c r="F86" s="26"/>
      <c r="G86" s="18"/>
      <c r="H86" s="19">
        <f>D86*50/B86</f>
        <v>0.02</v>
      </c>
      <c r="I86" s="43"/>
      <c r="J86" s="18"/>
      <c r="K86" s="43"/>
      <c r="L86" s="9"/>
      <c r="M86" s="31"/>
      <c r="N86" s="31"/>
    </row>
    <row r="87" spans="1:14" ht="13" thickBot="1">
      <c r="A87" s="15">
        <f>A86+7</f>
        <v>42855</v>
      </c>
      <c r="B87" s="20">
        <f>C86+F86-G86</f>
        <v>1869.0054971061329</v>
      </c>
      <c r="C87" s="17">
        <f>B87+(B87*0)</f>
        <v>1869.0054971061329</v>
      </c>
      <c r="D87" s="17">
        <f>B87/2500</f>
        <v>0.74760219884245316</v>
      </c>
      <c r="E87" s="34">
        <f>(C87-B87)/D87</f>
        <v>0</v>
      </c>
      <c r="F87" s="26"/>
      <c r="G87" s="18"/>
      <c r="H87" s="19">
        <f>D87*50/B87</f>
        <v>0.02</v>
      </c>
      <c r="I87" s="43"/>
      <c r="J87" s="18"/>
      <c r="K87" s="43"/>
      <c r="L87" s="9"/>
      <c r="M87" s="31"/>
      <c r="N87" s="31"/>
    </row>
    <row r="88" spans="1:14" ht="13" thickBot="1">
      <c r="A88" s="13"/>
      <c r="B88" s="22"/>
      <c r="C88" s="23"/>
      <c r="D88" s="23"/>
      <c r="E88" s="27"/>
      <c r="F88" s="30"/>
      <c r="G88" s="10"/>
      <c r="H88" s="24"/>
      <c r="I88" s="45"/>
      <c r="J88" s="25"/>
      <c r="K88" s="45"/>
      <c r="L88" s="11"/>
    </row>
    <row r="89" spans="1:14">
      <c r="A89" s="15">
        <f>A87+7</f>
        <v>42862</v>
      </c>
      <c r="B89" s="20">
        <f>C87+F87-G87</f>
        <v>1869.0054971061329</v>
      </c>
      <c r="C89" s="17">
        <f>B89+(B89*0.034)</f>
        <v>1932.5516840077414</v>
      </c>
      <c r="D89" s="17">
        <f>B89/2500</f>
        <v>0.74760219884245316</v>
      </c>
      <c r="E89" s="34">
        <f>(C89-B89)/D89</f>
        <v>84.999999999999986</v>
      </c>
      <c r="F89" s="18"/>
      <c r="G89" s="18"/>
      <c r="H89" s="19">
        <f>D89*50/B89</f>
        <v>0.02</v>
      </c>
      <c r="I89" s="43"/>
      <c r="J89" s="18"/>
      <c r="K89" s="43"/>
      <c r="L89" s="9"/>
    </row>
    <row r="90" spans="1:14">
      <c r="A90" s="15">
        <f>A89+7</f>
        <v>42869</v>
      </c>
      <c r="B90" s="20">
        <f>C89+F89-G89</f>
        <v>1932.5516840077414</v>
      </c>
      <c r="C90" s="17">
        <f>B90+(B90*0.024)</f>
        <v>1978.9329244239273</v>
      </c>
      <c r="D90" s="17">
        <f>B90/2500</f>
        <v>0.77302067360309656</v>
      </c>
      <c r="E90" s="34">
        <f>(C90-B90)/D90</f>
        <v>60.000000000000071</v>
      </c>
      <c r="F90" s="18"/>
      <c r="G90" s="18"/>
      <c r="H90" s="19">
        <f>D90*50/B90</f>
        <v>1.9999999999999997E-2</v>
      </c>
      <c r="I90" s="43"/>
      <c r="J90" s="18"/>
      <c r="K90" s="43"/>
      <c r="L90" s="9"/>
      <c r="M90" s="31"/>
      <c r="N90" s="31"/>
    </row>
    <row r="91" spans="1:14" ht="13" thickBot="1">
      <c r="A91" s="15">
        <f>A90+7</f>
        <v>42876</v>
      </c>
      <c r="B91" s="20">
        <f>C90+F90-G90</f>
        <v>1978.9329244239273</v>
      </c>
      <c r="C91" s="17">
        <f>B91+(B91*0.054)</f>
        <v>2085.7953023428195</v>
      </c>
      <c r="D91" s="17">
        <f>B91/2500</f>
        <v>0.79157316976957093</v>
      </c>
      <c r="E91" s="34">
        <f>(C91-B91)/D91</f>
        <v>135.00000000000017</v>
      </c>
      <c r="F91" s="18"/>
      <c r="G91" s="80">
        <v>785</v>
      </c>
      <c r="H91" s="19">
        <f>D91*50/B91</f>
        <v>0.02</v>
      </c>
      <c r="I91" s="43"/>
      <c r="J91" s="18"/>
      <c r="K91" s="43"/>
      <c r="L91" s="9"/>
      <c r="M91" s="31"/>
      <c r="N91" s="31"/>
    </row>
    <row r="92" spans="1:14" ht="13" thickBot="1">
      <c r="A92" s="13"/>
      <c r="B92" s="22"/>
      <c r="C92" s="23"/>
      <c r="D92" s="23"/>
      <c r="E92" s="27"/>
      <c r="F92" s="30"/>
      <c r="G92" s="10"/>
      <c r="H92" s="24"/>
      <c r="I92" s="45"/>
      <c r="J92" s="25"/>
      <c r="K92" s="45"/>
      <c r="L92" s="11"/>
    </row>
    <row r="93" spans="1:14">
      <c r="A93" s="15">
        <f>A91+7</f>
        <v>42883</v>
      </c>
      <c r="B93" s="20">
        <f>C91+F91-G91</f>
        <v>1300.7953023428195</v>
      </c>
      <c r="C93" s="17">
        <f>B93+(B93*0.035)</f>
        <v>1346.3231379248182</v>
      </c>
      <c r="D93" s="17">
        <f>B93/3250</f>
        <v>0.40024470841317522</v>
      </c>
      <c r="E93" s="34">
        <f>(C93-B93)/D93</f>
        <v>113.75000000000009</v>
      </c>
      <c r="F93" s="26"/>
      <c r="G93" s="18"/>
      <c r="H93" s="19">
        <f>D93*50/B93</f>
        <v>1.5384615384615385E-2</v>
      </c>
      <c r="I93" s="43"/>
      <c r="J93" s="18"/>
      <c r="K93" s="43"/>
      <c r="L93" s="9"/>
      <c r="M93" s="31"/>
      <c r="N93" s="31"/>
    </row>
    <row r="94" spans="1:14">
      <c r="A94" s="15">
        <f>A93+7</f>
        <v>42890</v>
      </c>
      <c r="B94" s="20">
        <f>C93+F93-G93</f>
        <v>1346.3231379248182</v>
      </c>
      <c r="C94" s="17">
        <f>B94+(B94*0.1312)</f>
        <v>1522.9607336205543</v>
      </c>
      <c r="D94" s="17">
        <f>B94/3250</f>
        <v>0.41425327320763639</v>
      </c>
      <c r="E94" s="34">
        <f>(C94-B94)/D94</f>
        <v>426.39999999999981</v>
      </c>
      <c r="F94" s="18"/>
      <c r="G94" s="18"/>
      <c r="H94" s="19">
        <f>D94*50/B94</f>
        <v>1.5384615384615384E-2</v>
      </c>
      <c r="I94" s="43"/>
      <c r="J94" s="18"/>
      <c r="K94" s="43"/>
      <c r="L94" s="9"/>
    </row>
    <row r="95" spans="1:14">
      <c r="A95" s="15">
        <f>A94+7</f>
        <v>42897</v>
      </c>
      <c r="B95" s="20">
        <f>C94+F94-G94</f>
        <v>1522.9607336205543</v>
      </c>
      <c r="C95" s="17">
        <f>B95+(B95*0.014)</f>
        <v>1544.2821838912421</v>
      </c>
      <c r="D95" s="17">
        <f>B95/3250</f>
        <v>0.46860330265247824</v>
      </c>
      <c r="E95" s="34">
        <f>(C95-B95)/D95</f>
        <v>45.500000000000128</v>
      </c>
      <c r="F95" s="18"/>
      <c r="G95" s="18"/>
      <c r="H95" s="19">
        <f>D95*50/B95</f>
        <v>1.5384615384615385E-2</v>
      </c>
      <c r="I95" s="43"/>
      <c r="J95" s="18"/>
      <c r="K95" s="43"/>
      <c r="L95" s="9"/>
      <c r="M95" s="31"/>
      <c r="N95" s="31"/>
    </row>
    <row r="96" spans="1:14" ht="13" thickBot="1">
      <c r="A96" s="15">
        <f>A95+7</f>
        <v>42904</v>
      </c>
      <c r="B96" s="20">
        <f>C95+F95-G95</f>
        <v>1544.2821838912421</v>
      </c>
      <c r="C96" s="17">
        <f>B96+(B96*0)</f>
        <v>1544.2821838912421</v>
      </c>
      <c r="D96" s="17">
        <f>B96/3250</f>
        <v>0.47516374888961294</v>
      </c>
      <c r="E96" s="34">
        <f>(C96-B96)/D96</f>
        <v>0</v>
      </c>
      <c r="F96" s="18"/>
      <c r="G96" s="18"/>
      <c r="H96" s="19">
        <f>D96*50/B96</f>
        <v>1.5384615384615384E-2</v>
      </c>
      <c r="I96" s="43"/>
      <c r="J96" s="18"/>
      <c r="K96" s="43"/>
      <c r="L96" s="9"/>
      <c r="M96" s="31"/>
      <c r="N96" s="31"/>
    </row>
    <row r="97" spans="1:14" ht="13" thickBot="1">
      <c r="A97" s="13"/>
      <c r="B97" s="22"/>
      <c r="C97" s="23"/>
      <c r="D97" s="23"/>
      <c r="E97" s="27"/>
      <c r="F97" s="30"/>
      <c r="G97" s="10"/>
      <c r="H97" s="24"/>
      <c r="I97" s="45"/>
      <c r="J97" s="25"/>
      <c r="K97" s="45"/>
      <c r="L97" s="11"/>
    </row>
    <row r="98" spans="1:14">
      <c r="A98" s="15">
        <f>A96+7</f>
        <v>42911</v>
      </c>
      <c r="B98" s="20">
        <f>C96+F96-G96</f>
        <v>1544.2821838912421</v>
      </c>
      <c r="C98" s="17">
        <f>B98+(B98*0.015)</f>
        <v>1567.4464166496107</v>
      </c>
      <c r="D98" s="17">
        <f>B98/3250</f>
        <v>0.47516374888961294</v>
      </c>
      <c r="E98" s="34">
        <f>(C98-B98)/D98</f>
        <v>48.749999999999929</v>
      </c>
      <c r="F98" s="26"/>
      <c r="G98" s="18"/>
      <c r="H98" s="19">
        <f>D98*50/B98</f>
        <v>1.5384615384615384E-2</v>
      </c>
      <c r="I98" s="43"/>
      <c r="J98" s="18"/>
      <c r="K98" s="43"/>
      <c r="L98" s="9"/>
      <c r="M98" s="31"/>
      <c r="N98" s="31"/>
    </row>
    <row r="99" spans="1:14" s="1" customFormat="1">
      <c r="A99" s="15">
        <f>A98+7</f>
        <v>42918</v>
      </c>
      <c r="B99" s="20">
        <f>C98+F98-G98</f>
        <v>1567.4464166496107</v>
      </c>
      <c r="C99" s="17">
        <f>B99+(B99*0.054)</f>
        <v>1652.0885231486895</v>
      </c>
      <c r="D99" s="17">
        <f>B99/3250</f>
        <v>0.48229120512295715</v>
      </c>
      <c r="E99" s="34">
        <f>(C99-B99)/D99</f>
        <v>175.49999999999977</v>
      </c>
      <c r="F99" s="18"/>
      <c r="G99" s="18"/>
      <c r="H99" s="19">
        <f>D99*50/B99</f>
        <v>1.5384615384615385E-2</v>
      </c>
      <c r="I99" s="43"/>
      <c r="J99" s="18"/>
      <c r="K99" s="43"/>
      <c r="L99" s="9"/>
    </row>
    <row r="100" spans="1:14" s="1" customFormat="1">
      <c r="A100" s="15">
        <f>A99+7</f>
        <v>42925</v>
      </c>
      <c r="B100" s="20">
        <f>C99+F99-G99</f>
        <v>1652.0885231486895</v>
      </c>
      <c r="C100" s="17">
        <f>B100+(B100*0.0483)</f>
        <v>1731.8843988167712</v>
      </c>
      <c r="D100" s="17">
        <f>B100/3250</f>
        <v>0.50833493019959675</v>
      </c>
      <c r="E100" s="34">
        <f>(C100-B100)/D100</f>
        <v>156.97499999999988</v>
      </c>
      <c r="F100" s="18"/>
      <c r="G100" s="18"/>
      <c r="H100" s="19">
        <f>D100*50/B100</f>
        <v>1.5384615384615384E-2</v>
      </c>
      <c r="I100" s="43"/>
      <c r="J100" s="18"/>
      <c r="K100" s="43"/>
      <c r="L100" s="9"/>
      <c r="M100" s="31"/>
      <c r="N100" s="31"/>
    </row>
    <row r="101" spans="1:14" s="1" customFormat="1" ht="13" thickBot="1">
      <c r="A101" s="15">
        <f>A100+7</f>
        <v>42932</v>
      </c>
      <c r="B101" s="20">
        <f>C100+F100-G100</f>
        <v>1731.8843988167712</v>
      </c>
      <c r="C101" s="17">
        <f>B101+(B101*-0.074)</f>
        <v>1603.72495330433</v>
      </c>
      <c r="D101" s="17">
        <f>B101/3250</f>
        <v>0.53288750732823731</v>
      </c>
      <c r="E101" s="34">
        <f>(C101-B101)/D101</f>
        <v>-240.50000000000014</v>
      </c>
      <c r="F101" s="18"/>
      <c r="G101" s="18"/>
      <c r="H101" s="19">
        <f>D101*50/B101</f>
        <v>1.5384615384615385E-2</v>
      </c>
      <c r="I101" s="43"/>
      <c r="J101" s="18"/>
      <c r="K101" s="43"/>
      <c r="L101" s="9"/>
    </row>
    <row r="102" spans="1:14" ht="13" thickBot="1">
      <c r="A102" s="13"/>
      <c r="B102" s="22"/>
      <c r="C102" s="23"/>
      <c r="D102" s="23"/>
      <c r="E102" s="27"/>
      <c r="F102" s="30"/>
      <c r="G102" s="10"/>
      <c r="H102" s="24"/>
      <c r="I102" s="45"/>
      <c r="J102" s="25"/>
      <c r="K102" s="45"/>
      <c r="L102" s="11"/>
      <c r="M102" s="1"/>
      <c r="N102" s="1"/>
    </row>
    <row r="103" spans="1:14" s="1" customFormat="1">
      <c r="A103" s="15">
        <f>A101+7</f>
        <v>42939</v>
      </c>
      <c r="B103" s="20">
        <f>C101+F101-G101</f>
        <v>1603.72495330433</v>
      </c>
      <c r="C103" s="17">
        <f>B103+(B103*0.0427)</f>
        <v>1672.204008810425</v>
      </c>
      <c r="D103" s="17">
        <f>B103/3250</f>
        <v>0.49345383178594771</v>
      </c>
      <c r="E103" s="34">
        <f>(C103-B103)/D103</f>
        <v>138.77500000000009</v>
      </c>
      <c r="F103" s="26"/>
      <c r="G103" s="18"/>
      <c r="H103" s="19">
        <f>D103*50/B103</f>
        <v>1.5384615384615385E-2</v>
      </c>
      <c r="I103" s="43"/>
      <c r="J103" s="18"/>
      <c r="K103" s="43"/>
      <c r="L103" s="9"/>
    </row>
    <row r="104" spans="1:14" s="1" customFormat="1">
      <c r="A104" s="15">
        <f>A103+7</f>
        <v>42946</v>
      </c>
      <c r="B104" s="20">
        <f>C103+F103-G103</f>
        <v>1672.204008810425</v>
      </c>
      <c r="C104" s="17">
        <f>B104+(B104*-0.0045)</f>
        <v>1664.679090770778</v>
      </c>
      <c r="D104" s="17">
        <f>B104/3250</f>
        <v>0.51452431040320767</v>
      </c>
      <c r="E104" s="37">
        <f>(C104-B104)/D104</f>
        <v>-14.625000000000153</v>
      </c>
      <c r="F104" s="18"/>
      <c r="G104" s="18"/>
      <c r="H104" s="19">
        <f>D104*50/B104</f>
        <v>1.5384615384615384E-2</v>
      </c>
      <c r="I104" s="43"/>
      <c r="J104" s="18"/>
      <c r="K104" s="43"/>
      <c r="L104" s="9"/>
    </row>
    <row r="105" spans="1:14" s="1" customFormat="1">
      <c r="A105" s="15">
        <f>A104+7</f>
        <v>42953</v>
      </c>
      <c r="B105" s="20">
        <f>C104+F104-G104</f>
        <v>1664.679090770778</v>
      </c>
      <c r="C105" s="17">
        <f>B105+(B105*-0.0326)</f>
        <v>1610.4105524116505</v>
      </c>
      <c r="D105" s="17">
        <f>B105/3250</f>
        <v>0.51220895100639319</v>
      </c>
      <c r="E105" s="37">
        <f>(C105-B105)/D105</f>
        <v>-105.95000000000014</v>
      </c>
      <c r="F105" s="18"/>
      <c r="G105" s="18"/>
      <c r="H105" s="19">
        <f>D105*50/B105</f>
        <v>1.5384615384615384E-2</v>
      </c>
      <c r="I105" s="43"/>
      <c r="J105" s="18"/>
      <c r="K105" s="43"/>
      <c r="L105" s="9"/>
    </row>
    <row r="106" spans="1:14" s="1" customFormat="1" ht="13" thickBot="1">
      <c r="A106" s="15">
        <f>A105+7</f>
        <v>42960</v>
      </c>
      <c r="B106" s="20">
        <f>C105+F105-G105</f>
        <v>1610.4105524116505</v>
      </c>
      <c r="C106" s="17">
        <f>B106+(B106*-0.02)</f>
        <v>1578.2023413634174</v>
      </c>
      <c r="D106" s="17">
        <f>B106/3250</f>
        <v>0.4955109392035848</v>
      </c>
      <c r="E106" s="37">
        <f>(C106-B106)/D106</f>
        <v>-65.000000000000227</v>
      </c>
      <c r="F106" s="18"/>
      <c r="G106" s="18"/>
      <c r="H106" s="19">
        <f>D106*50/B106</f>
        <v>1.5384615384615385E-2</v>
      </c>
      <c r="I106" s="43"/>
      <c r="J106" s="18"/>
      <c r="K106" s="43"/>
      <c r="L106" s="9"/>
    </row>
    <row r="107" spans="1:14" ht="13" thickBot="1">
      <c r="A107" s="13"/>
      <c r="B107" s="22"/>
      <c r="C107" s="23"/>
      <c r="D107" s="23"/>
      <c r="E107" s="27"/>
      <c r="F107" s="30"/>
      <c r="G107" s="10"/>
      <c r="H107" s="24"/>
      <c r="I107" s="45"/>
      <c r="J107" s="25"/>
      <c r="K107" s="45"/>
      <c r="L107" s="11"/>
      <c r="M107" s="1"/>
      <c r="N107" s="1"/>
    </row>
    <row r="108" spans="1:14" s="1" customFormat="1">
      <c r="A108" s="15">
        <f>A106+7</f>
        <v>42967</v>
      </c>
      <c r="B108" s="20">
        <f>C106+F106-G106</f>
        <v>1578.2023413634174</v>
      </c>
      <c r="C108" s="17">
        <f>B108+(B108*0.0596)</f>
        <v>1672.2632009086772</v>
      </c>
      <c r="D108" s="17">
        <f>B108/3250</f>
        <v>0.48560072041951308</v>
      </c>
      <c r="E108" s="34">
        <f>(C108-B108)/D108</f>
        <v>193.70000000000013</v>
      </c>
      <c r="F108" s="26">
        <f>Dam_Perfomance!H17+Rud_Perfomance!H17</f>
        <v>255.91147679051682</v>
      </c>
      <c r="G108" s="18"/>
      <c r="H108" s="19">
        <f>D108*50/B108</f>
        <v>1.5384615384615385E-2</v>
      </c>
      <c r="I108" s="43"/>
      <c r="J108" s="18"/>
      <c r="K108" s="43"/>
      <c r="L108" s="9"/>
    </row>
    <row r="109" spans="1:14" s="1" customFormat="1">
      <c r="A109" s="15">
        <f>A108+7</f>
        <v>42974</v>
      </c>
      <c r="B109" s="20">
        <f>C108+F108-G108</f>
        <v>1928.174677699194</v>
      </c>
      <c r="C109" s="17">
        <f>B109+(B109*-0.0884)</f>
        <v>1757.7240361905854</v>
      </c>
      <c r="D109" s="17">
        <f>B109/3250</f>
        <v>0.59328451621513667</v>
      </c>
      <c r="E109" s="37">
        <f>(C109-B109)/D109</f>
        <v>-287.29999999999984</v>
      </c>
      <c r="F109" s="18"/>
      <c r="G109" s="18"/>
      <c r="H109" s="19">
        <f>D109*50/B109</f>
        <v>1.5384615384615385E-2</v>
      </c>
      <c r="I109" s="43"/>
      <c r="J109" s="18"/>
      <c r="K109" s="43"/>
      <c r="L109" s="9"/>
    </row>
    <row r="110" spans="1:14" s="1" customFormat="1">
      <c r="A110" s="15">
        <f>A109+7</f>
        <v>42981</v>
      </c>
      <c r="B110" s="20">
        <f>C109+F109-G109</f>
        <v>1757.7240361905854</v>
      </c>
      <c r="C110" s="17">
        <f>B110+(B110*-0.0583)</f>
        <v>1655.2487248806742</v>
      </c>
      <c r="D110" s="17">
        <f>B110/5500</f>
        <v>0.31958618839828823</v>
      </c>
      <c r="E110" s="37">
        <f>(C110-B110)/D110</f>
        <v>-320.65000000000009</v>
      </c>
      <c r="F110" s="21">
        <f>Harm_Perfomance!H17</f>
        <v>-4.2241613373325233</v>
      </c>
      <c r="G110" s="18"/>
      <c r="H110" s="19">
        <f>D110*50/B110</f>
        <v>9.0909090909090905E-3</v>
      </c>
      <c r="I110" s="43"/>
      <c r="J110" s="18"/>
      <c r="K110" s="43"/>
      <c r="L110" s="9"/>
      <c r="M110" s="31"/>
      <c r="N110" s="31"/>
    </row>
    <row r="111" spans="1:14" s="1" customFormat="1" ht="13" thickBot="1">
      <c r="A111" s="15">
        <f>A110+7</f>
        <v>42988</v>
      </c>
      <c r="B111" s="20">
        <f>C110+F110-G110</f>
        <v>1651.0245635433416</v>
      </c>
      <c r="C111" s="17">
        <f>B111+(B111*0.1119)</f>
        <v>1835.7742122038417</v>
      </c>
      <c r="D111" s="17">
        <f>B111/5500</f>
        <v>0.30018628428060756</v>
      </c>
      <c r="E111" s="34">
        <f>(C111-B111)/D111</f>
        <v>615.45000000000039</v>
      </c>
      <c r="F111" s="26"/>
      <c r="G111" s="18"/>
      <c r="H111" s="19">
        <f>D111*50/B111</f>
        <v>9.0909090909090905E-3</v>
      </c>
      <c r="I111" s="43"/>
      <c r="J111" s="18"/>
      <c r="K111" s="43"/>
      <c r="L111" s="9"/>
      <c r="M111" s="31"/>
      <c r="N111" s="31"/>
    </row>
    <row r="112" spans="1:14" ht="13" thickBot="1">
      <c r="A112" s="13"/>
      <c r="B112" s="22"/>
      <c r="C112" s="23"/>
      <c r="D112" s="23"/>
      <c r="E112" s="27"/>
      <c r="F112" s="30"/>
      <c r="G112" s="10"/>
      <c r="H112" s="24"/>
      <c r="I112" s="45"/>
      <c r="J112" s="25"/>
      <c r="K112" s="45"/>
      <c r="L112" s="11"/>
    </row>
    <row r="113" spans="1:14" s="1" customFormat="1">
      <c r="A113" s="15">
        <f>A111+7</f>
        <v>42995</v>
      </c>
      <c r="B113" s="20">
        <f>C111+F111-G111</f>
        <v>1835.7742122038417</v>
      </c>
      <c r="C113" s="17">
        <f>B113+(B113*-0.073)</f>
        <v>1701.7626947129613</v>
      </c>
      <c r="D113" s="17">
        <f>B113/5500</f>
        <v>0.33377712949160759</v>
      </c>
      <c r="E113" s="37">
        <f>(C113-B113)/D113</f>
        <v>-401.49999999999972</v>
      </c>
      <c r="F113" s="26"/>
      <c r="G113" s="18"/>
      <c r="H113" s="19">
        <f>D113*50/B113</f>
        <v>9.0909090909090922E-3</v>
      </c>
      <c r="I113" s="43"/>
      <c r="J113" s="18"/>
      <c r="K113" s="43"/>
      <c r="L113" s="9"/>
      <c r="M113" s="31"/>
      <c r="N113" s="31"/>
    </row>
    <row r="114" spans="1:14" s="1" customFormat="1">
      <c r="A114" s="15">
        <f>A113+7</f>
        <v>43002</v>
      </c>
      <c r="B114" s="20">
        <f>C113+F113-G113</f>
        <v>1701.7626947129613</v>
      </c>
      <c r="C114" s="17">
        <f>B114+(B114*-0.0103)</f>
        <v>1684.2345389574177</v>
      </c>
      <c r="D114" s="17">
        <f>B114/5500</f>
        <v>0.30941139903872023</v>
      </c>
      <c r="E114" s="37">
        <f>(C114-B114)/D114</f>
        <v>-56.650000000000304</v>
      </c>
      <c r="F114" s="18">
        <v>800</v>
      </c>
      <c r="G114" s="18"/>
      <c r="H114" s="19">
        <f>D114*50/B114</f>
        <v>9.0909090909090905E-3</v>
      </c>
      <c r="I114" s="43"/>
      <c r="J114" s="18"/>
      <c r="K114" s="43"/>
      <c r="L114" s="9"/>
    </row>
    <row r="115" spans="1:14" s="1" customFormat="1">
      <c r="A115" s="15">
        <f>A114+7</f>
        <v>43009</v>
      </c>
      <c r="B115" s="20">
        <f>C114+F114-G114</f>
        <v>2484.2345389574175</v>
      </c>
      <c r="C115" s="17">
        <f>B115+(B115*-0.0544)</f>
        <v>2349.0921800381338</v>
      </c>
      <c r="D115" s="17">
        <f>B115/5500</f>
        <v>0.45167900708316683</v>
      </c>
      <c r="E115" s="37">
        <f>(C115-B115)/D115</f>
        <v>-299.20000000000033</v>
      </c>
      <c r="F115" s="18">
        <v>1350</v>
      </c>
      <c r="G115" s="18"/>
      <c r="H115" s="19">
        <f>D115*50/B115</f>
        <v>9.0909090909090905E-3</v>
      </c>
      <c r="I115" s="43"/>
      <c r="J115" s="18"/>
      <c r="K115" s="43"/>
      <c r="L115" s="9"/>
      <c r="M115" s="31"/>
      <c r="N115" s="31"/>
    </row>
    <row r="116" spans="1:14" s="1" customFormat="1" ht="13" thickBot="1">
      <c r="A116" s="15">
        <f>A115+7</f>
        <v>43016</v>
      </c>
      <c r="B116" s="20">
        <f>C115+F115-G115</f>
        <v>3699.0921800381338</v>
      </c>
      <c r="C116" s="17">
        <f>B116+(B116*-0.0579)</f>
        <v>3484.9147428139258</v>
      </c>
      <c r="D116" s="17">
        <f>B116/3000</f>
        <v>1.2330307266793779</v>
      </c>
      <c r="E116" s="37">
        <f>(C116-B116)/D116</f>
        <v>-173.70000000000005</v>
      </c>
      <c r="F116" s="26"/>
      <c r="G116" s="18"/>
      <c r="H116" s="19">
        <f>D116*50/B116</f>
        <v>1.6666666666666666E-2</v>
      </c>
      <c r="I116" s="43"/>
      <c r="J116" s="18"/>
      <c r="K116" s="43"/>
      <c r="L116" s="9"/>
      <c r="M116" s="31"/>
      <c r="N116" s="31"/>
    </row>
    <row r="117" spans="1:14" ht="13" thickBot="1">
      <c r="A117" s="13"/>
      <c r="B117" s="22"/>
      <c r="C117" s="23"/>
      <c r="D117" s="23"/>
      <c r="E117" s="27"/>
      <c r="F117" s="30"/>
      <c r="G117" s="10"/>
      <c r="H117" s="24"/>
      <c r="I117" s="45"/>
      <c r="J117" s="25"/>
      <c r="K117" s="45"/>
      <c r="L117" s="11"/>
    </row>
    <row r="118" spans="1:14" s="1" customFormat="1">
      <c r="A118" s="15">
        <f>A116+7</f>
        <v>43023</v>
      </c>
      <c r="B118" s="20">
        <f>C116+F116-G116</f>
        <v>3484.9147428139258</v>
      </c>
      <c r="C118" s="17">
        <f>B118+(B118*0.0774)</f>
        <v>3754.6471439077236</v>
      </c>
      <c r="D118" s="17">
        <f>B118/3000</f>
        <v>1.1616382476046418</v>
      </c>
      <c r="E118" s="34">
        <f>(C118-B118)/D118</f>
        <v>232.19999999999993</v>
      </c>
      <c r="F118" s="21">
        <f>BrianM_Perfomance!H17</f>
        <v>-71.37053006184783</v>
      </c>
      <c r="G118" s="18"/>
      <c r="H118" s="19">
        <f>D118*50/B118</f>
        <v>1.6666666666666663E-2</v>
      </c>
      <c r="I118" s="43"/>
      <c r="J118" s="18"/>
      <c r="K118" s="43"/>
      <c r="L118" s="9"/>
      <c r="M118" s="31"/>
      <c r="N118" s="31"/>
    </row>
    <row r="119" spans="1:14" s="1" customFormat="1">
      <c r="A119" s="15">
        <f>A118+7</f>
        <v>43030</v>
      </c>
      <c r="B119" s="20">
        <f>C118+F118-G118</f>
        <v>3683.2766138458755</v>
      </c>
      <c r="C119" s="17">
        <f>B119+(B119*0.0717)</f>
        <v>3947.367547058625</v>
      </c>
      <c r="D119" s="17">
        <f>B119/3000</f>
        <v>1.2277588712819585</v>
      </c>
      <c r="E119" s="34">
        <f>(C119-B119)/D119</f>
        <v>215.10000000000011</v>
      </c>
      <c r="F119" s="18"/>
      <c r="G119" s="18"/>
      <c r="H119" s="19">
        <f>D119*50/B119</f>
        <v>1.6666666666666666E-2</v>
      </c>
      <c r="I119" s="43"/>
      <c r="J119" s="18"/>
      <c r="K119" s="43"/>
      <c r="L119" s="9"/>
    </row>
    <row r="120" spans="1:14" s="1" customFormat="1">
      <c r="A120" s="15">
        <f>A119+7</f>
        <v>43037</v>
      </c>
      <c r="B120" s="20">
        <f>C119+F119-G119</f>
        <v>3947.367547058625</v>
      </c>
      <c r="C120" s="17">
        <f>B120+(B120*0.09)</f>
        <v>4302.6306262939015</v>
      </c>
      <c r="D120" s="17">
        <f>B120/3000</f>
        <v>1.3157891823528749</v>
      </c>
      <c r="E120" s="34">
        <f>(C120-B120)/D120</f>
        <v>270.00000000000028</v>
      </c>
      <c r="F120" s="18">
        <f>RichS_Perfomance!H17</f>
        <v>5.8696377923042178</v>
      </c>
      <c r="G120" s="18"/>
      <c r="H120" s="19">
        <f>D120*50/B120</f>
        <v>1.6666666666666666E-2</v>
      </c>
      <c r="I120" s="43"/>
      <c r="J120" s="18"/>
      <c r="K120" s="43"/>
      <c r="L120" s="9"/>
      <c r="M120" s="31"/>
      <c r="N120" s="31"/>
    </row>
    <row r="121" spans="1:14" s="1" customFormat="1" ht="13" thickBot="1">
      <c r="A121" s="15">
        <f>A120+7</f>
        <v>43044</v>
      </c>
      <c r="B121" s="20">
        <f>C120+F120-G120</f>
        <v>4308.5002640862058</v>
      </c>
      <c r="C121" s="17">
        <f>B121+(B121*-0.0353)</f>
        <v>4156.4102047639626</v>
      </c>
      <c r="D121" s="17">
        <f>B121/3000</f>
        <v>1.436166754695402</v>
      </c>
      <c r="E121" s="37">
        <f>(C121-B121)/D121</f>
        <v>-105.90000000000008</v>
      </c>
      <c r="F121" s="26">
        <f>Dam_Perfomance!H32+Rud_Perfomance!H32</f>
        <v>5.8692151239988561</v>
      </c>
      <c r="G121" s="18"/>
      <c r="H121" s="19">
        <f>D121*50/B121</f>
        <v>1.666666666666667E-2</v>
      </c>
      <c r="I121" s="43"/>
      <c r="J121" s="18"/>
      <c r="K121" s="43"/>
      <c r="L121" s="9"/>
      <c r="M121" s="31"/>
      <c r="N121" s="31"/>
    </row>
    <row r="122" spans="1:14" ht="13" thickBot="1">
      <c r="A122" s="13"/>
      <c r="B122" s="22"/>
      <c r="C122" s="23"/>
      <c r="D122" s="23"/>
      <c r="E122" s="27"/>
      <c r="F122" s="30"/>
      <c r="G122" s="10"/>
      <c r="H122" s="24"/>
      <c r="I122" s="45"/>
      <c r="J122" s="25"/>
      <c r="K122" s="45"/>
      <c r="L122" s="11"/>
    </row>
    <row r="123" spans="1:14" s="1" customFormat="1">
      <c r="A123" s="15">
        <f>A121+7</f>
        <v>43051</v>
      </c>
      <c r="B123" s="20">
        <f>C121+F121-G121</f>
        <v>4162.2794198879619</v>
      </c>
      <c r="C123" s="17">
        <f>B123+(B123*-0.1562)</f>
        <v>3512.1313745014622</v>
      </c>
      <c r="D123" s="17">
        <f>B123/3000</f>
        <v>1.3874264732959873</v>
      </c>
      <c r="E123" s="95">
        <f>(C123-B123)/D123</f>
        <v>-468.6</v>
      </c>
      <c r="F123" s="26"/>
      <c r="G123" s="18"/>
      <c r="H123" s="19">
        <f>D123*50/B123</f>
        <v>1.6666666666666666E-2</v>
      </c>
      <c r="I123" s="43"/>
      <c r="J123" s="18"/>
      <c r="K123" s="43"/>
      <c r="L123" s="9"/>
      <c r="M123" s="31"/>
      <c r="N123" s="31"/>
    </row>
    <row r="124" spans="1:14" s="1" customFormat="1">
      <c r="A124" s="15">
        <f>A123+7</f>
        <v>43058</v>
      </c>
      <c r="B124" s="20">
        <f>C123+F123-G123</f>
        <v>3512.1313745014622</v>
      </c>
      <c r="C124" s="17">
        <f>B124+(B124*0.081)</f>
        <v>3796.6140158360809</v>
      </c>
      <c r="D124" s="17">
        <f>B124/2500</f>
        <v>1.4048525498005848</v>
      </c>
      <c r="E124" s="34">
        <f>(C124-B124)/D124</f>
        <v>202.50000000000014</v>
      </c>
      <c r="F124" s="18"/>
      <c r="G124" s="18"/>
      <c r="H124" s="19">
        <f>D124*50/B124</f>
        <v>1.9999999999999997E-2</v>
      </c>
      <c r="I124" s="43"/>
      <c r="J124" s="18"/>
      <c r="K124" s="43"/>
      <c r="L124" s="9"/>
    </row>
    <row r="125" spans="1:14" s="1" customFormat="1">
      <c r="A125" s="15">
        <f>A124+7</f>
        <v>43065</v>
      </c>
      <c r="B125" s="20">
        <f>C124+F124-G124</f>
        <v>3796.6140158360809</v>
      </c>
      <c r="C125" s="17">
        <f>B125+(B125*-0.0343)</f>
        <v>3666.3901550929031</v>
      </c>
      <c r="D125" s="17">
        <f>B125/2500</f>
        <v>1.5186456063344322</v>
      </c>
      <c r="E125" s="35">
        <f>(C125-B125)/D125</f>
        <v>-85.750000000000114</v>
      </c>
      <c r="F125" s="21">
        <f>Harm_Perfomance!H32</f>
        <v>-1.8688197447305768</v>
      </c>
      <c r="G125" s="18"/>
      <c r="H125" s="19">
        <f>D125*50/B125</f>
        <v>0.02</v>
      </c>
      <c r="I125" s="43"/>
      <c r="J125" s="18"/>
      <c r="K125" s="43"/>
      <c r="L125" s="9"/>
      <c r="M125" s="31"/>
      <c r="N125" s="31"/>
    </row>
    <row r="126" spans="1:14" s="1" customFormat="1" ht="13" thickBot="1">
      <c r="A126" s="15">
        <f>A125+7</f>
        <v>43072</v>
      </c>
      <c r="B126" s="20">
        <f>C125+F125-G125</f>
        <v>3664.5213353481727</v>
      </c>
      <c r="C126" s="17">
        <f>B126+(B126*0.10018)</f>
        <v>4031.6330827233528</v>
      </c>
      <c r="D126" s="17">
        <f>B126/3250</f>
        <v>1.1275450262609763</v>
      </c>
      <c r="E126" s="34">
        <f>(C126-B126)/D126</f>
        <v>325.58500000000015</v>
      </c>
      <c r="F126" s="18"/>
      <c r="G126" s="18"/>
      <c r="H126" s="19">
        <f>D126*50/B126</f>
        <v>1.5384615384615385E-2</v>
      </c>
      <c r="I126" s="43"/>
      <c r="J126" s="18"/>
      <c r="K126" s="43"/>
      <c r="L126" s="9"/>
      <c r="M126" s="31"/>
      <c r="N126" s="31"/>
    </row>
    <row r="127" spans="1:14" ht="13" thickBot="1">
      <c r="A127" s="13"/>
      <c r="B127" s="22"/>
      <c r="C127" s="23"/>
      <c r="D127" s="23"/>
      <c r="E127" s="27"/>
      <c r="F127" s="30"/>
      <c r="G127" s="10"/>
      <c r="H127" s="24"/>
      <c r="I127" s="45"/>
      <c r="J127" s="25"/>
      <c r="K127" s="45"/>
      <c r="L127" s="11"/>
    </row>
    <row r="128" spans="1:14" s="1" customFormat="1">
      <c r="A128" s="15">
        <f>A126+7</f>
        <v>43079</v>
      </c>
      <c r="B128" s="20">
        <f>C126+F126-G126</f>
        <v>4031.6330827233528</v>
      </c>
      <c r="C128" s="17">
        <f>B128+(B128*0.0214)</f>
        <v>4117.9100306936325</v>
      </c>
      <c r="D128" s="17">
        <f>B128/3250</f>
        <v>1.2405024869918009</v>
      </c>
      <c r="E128" s="34">
        <f>(C128-B128)/D128</f>
        <v>69.549999999999969</v>
      </c>
      <c r="F128" s="26">
        <v>700</v>
      </c>
      <c r="G128" s="18"/>
      <c r="H128" s="19">
        <f>D128*50/B128</f>
        <v>1.5384615384615385E-2</v>
      </c>
      <c r="I128" s="43"/>
      <c r="J128" s="18"/>
      <c r="K128" s="43"/>
      <c r="L128" s="9"/>
      <c r="M128" s="31"/>
      <c r="N128" s="31"/>
    </row>
    <row r="129" spans="1:14" s="1" customFormat="1">
      <c r="A129" s="15">
        <f>A128+7</f>
        <v>43086</v>
      </c>
      <c r="B129" s="20">
        <f>C128+F128-G128</f>
        <v>4817.9100306936325</v>
      </c>
      <c r="C129" s="17">
        <f>B129+(B129*0.0087)</f>
        <v>4859.8258479606675</v>
      </c>
      <c r="D129" s="17">
        <f>B129/3250</f>
        <v>1.4824338555980408</v>
      </c>
      <c r="E129" s="34">
        <f>(C129-B129)/D129</f>
        <v>28.275000000000254</v>
      </c>
      <c r="F129" s="18"/>
      <c r="G129" s="18"/>
      <c r="H129" s="19">
        <f>D129*50/B129</f>
        <v>1.5384615384615384E-2</v>
      </c>
      <c r="I129" s="43"/>
      <c r="J129" s="18"/>
      <c r="K129" s="43"/>
      <c r="L129" s="9"/>
    </row>
    <row r="130" spans="1:14" s="1" customFormat="1">
      <c r="A130" s="15">
        <f>A129+7</f>
        <v>43093</v>
      </c>
      <c r="B130" s="20">
        <f>C129+F129-G129</f>
        <v>4859.8258479606675</v>
      </c>
      <c r="C130" s="17">
        <f>B130+(B130*0)</f>
        <v>4859.8258479606675</v>
      </c>
      <c r="D130" s="17">
        <f>B130/3250</f>
        <v>1.4953310301417437</v>
      </c>
      <c r="E130" s="37">
        <f>(C130-B130)/D130</f>
        <v>0</v>
      </c>
      <c r="F130" s="18"/>
      <c r="G130" s="18"/>
      <c r="H130" s="19">
        <f>D130*50/B130</f>
        <v>1.5384615384615384E-2</v>
      </c>
      <c r="I130" s="43"/>
      <c r="J130" s="18"/>
      <c r="K130" s="43"/>
      <c r="L130" s="9"/>
      <c r="M130" s="31"/>
      <c r="N130" s="31"/>
    </row>
    <row r="131" spans="1:14" s="1" customFormat="1" ht="13" thickBot="1">
      <c r="A131" s="15">
        <f>A130+7</f>
        <v>43100</v>
      </c>
      <c r="B131" s="20">
        <f>C130+F130-G130</f>
        <v>4859.8258479606675</v>
      </c>
      <c r="C131" s="17">
        <f>B131+(B131*0)</f>
        <v>4859.8258479606675</v>
      </c>
      <c r="D131" s="17">
        <f>B131/3250</f>
        <v>1.4953310301417437</v>
      </c>
      <c r="E131" s="37">
        <f>(C131-B131)/D131</f>
        <v>0</v>
      </c>
      <c r="F131" s="18"/>
      <c r="G131" s="18"/>
      <c r="H131" s="19">
        <f>D131*50/B131</f>
        <v>1.5384615384615384E-2</v>
      </c>
      <c r="I131" s="43"/>
      <c r="J131" s="18"/>
      <c r="K131" s="43"/>
      <c r="L131" s="9"/>
      <c r="M131" s="31"/>
      <c r="N131" s="31"/>
    </row>
    <row r="132" spans="1:14" ht="13" thickBot="1">
      <c r="A132" s="13"/>
      <c r="B132" s="22"/>
      <c r="C132" s="23"/>
      <c r="D132" s="23"/>
      <c r="E132" s="27"/>
      <c r="F132" s="30"/>
      <c r="G132" s="10"/>
      <c r="H132" s="24"/>
      <c r="I132" s="45"/>
      <c r="J132" s="25"/>
      <c r="K132" s="45"/>
      <c r="L132" s="11"/>
    </row>
    <row r="133" spans="1:14" s="1" customFormat="1">
      <c r="A133" s="15">
        <f>A131+7</f>
        <v>43107</v>
      </c>
      <c r="B133" s="20">
        <f>C131+F131-G131</f>
        <v>4859.8258479606675</v>
      </c>
      <c r="C133" s="17">
        <f>B133+(B133*-0.0579)</f>
        <v>4578.4419313637445</v>
      </c>
      <c r="D133" s="17">
        <f>B133/3250</f>
        <v>1.4953310301417437</v>
      </c>
      <c r="E133" s="37">
        <f>(C133-B133)/D133</f>
        <v>-188.17500000000024</v>
      </c>
      <c r="F133" s="26">
        <f>BrianM_Perfomance!H32</f>
        <v>27.848671988187604</v>
      </c>
      <c r="G133" s="52"/>
      <c r="H133" s="19">
        <f>D133*50/B133</f>
        <v>1.5384615384615384E-2</v>
      </c>
      <c r="I133" s="43"/>
      <c r="J133" s="18"/>
      <c r="K133" s="43"/>
      <c r="L133" s="9"/>
      <c r="M133" s="31"/>
      <c r="N133" s="31"/>
    </row>
    <row r="134" spans="1:14" s="1" customFormat="1">
      <c r="A134" s="15">
        <f>A133+7</f>
        <v>43114</v>
      </c>
      <c r="B134" s="20">
        <f>C133+F133-G133</f>
        <v>4606.2906033519321</v>
      </c>
      <c r="C134" s="17">
        <f>B134+(B134*-0.1565)</f>
        <v>3885.4061239273547</v>
      </c>
      <c r="D134" s="17">
        <f>B134/3250</f>
        <v>1.4173201856467483</v>
      </c>
      <c r="E134" s="95">
        <f>(C134-B134)/D134</f>
        <v>-508.62500000000006</v>
      </c>
      <c r="F134" s="26"/>
      <c r="G134" s="63"/>
      <c r="H134" s="19">
        <f>D134*50/B134</f>
        <v>1.5384615384615384E-2</v>
      </c>
      <c r="I134" s="43"/>
      <c r="J134" s="18"/>
      <c r="K134" s="43"/>
      <c r="L134" s="9"/>
    </row>
    <row r="135" spans="1:14" s="1" customFormat="1">
      <c r="A135" s="15">
        <f>A134+7</f>
        <v>43121</v>
      </c>
      <c r="B135" s="20">
        <f>C134+F134-G134</f>
        <v>3885.4061239273547</v>
      </c>
      <c r="C135" s="17">
        <f>B135+(B135*-0.2248)</f>
        <v>3011.9668272684853</v>
      </c>
      <c r="D135" s="17">
        <f>B135/3250</f>
        <v>1.1955095765930321</v>
      </c>
      <c r="E135" s="95">
        <f>(C135-B135)/D135</f>
        <v>-730.6</v>
      </c>
      <c r="F135" s="26">
        <f>SharonN_Perfomance!H17+RichS_Perfomance!H32</f>
        <v>-205.26997947274205</v>
      </c>
      <c r="G135" s="63"/>
      <c r="H135" s="19">
        <f>D135*50/B135</f>
        <v>1.5384615384615384E-2</v>
      </c>
      <c r="I135" s="43"/>
      <c r="J135" s="18"/>
      <c r="K135" s="43"/>
      <c r="L135" s="9"/>
      <c r="M135" s="31"/>
      <c r="N135" s="31"/>
    </row>
    <row r="136" spans="1:14" s="1" customFormat="1" ht="15" thickBot="1">
      <c r="A136" s="15">
        <f>A135+7</f>
        <v>43128</v>
      </c>
      <c r="B136" s="32">
        <f>C135+F135-G135</f>
        <v>2806.6968477957435</v>
      </c>
      <c r="C136" s="17">
        <f>B136+(B136*0.03)</f>
        <v>2890.8977532296158</v>
      </c>
      <c r="D136" s="17">
        <f>B136/3250</f>
        <v>0.86359903009099803</v>
      </c>
      <c r="E136" s="28">
        <f>(C136-B136)/D136</f>
        <v>97.500000000000014</v>
      </c>
      <c r="F136" s="18"/>
      <c r="G136" s="18"/>
      <c r="H136" s="19">
        <f>D136*50/B136</f>
        <v>1.5384615384615387E-2</v>
      </c>
      <c r="I136" s="43"/>
      <c r="J136" s="18"/>
      <c r="K136" s="43"/>
      <c r="L136" s="9"/>
      <c r="M136" s="31"/>
      <c r="N136" s="31"/>
    </row>
    <row r="137" spans="1:14" ht="13" thickBot="1">
      <c r="A137" s="13"/>
      <c r="B137" s="22"/>
      <c r="C137" s="23"/>
      <c r="D137" s="23"/>
      <c r="E137" s="27"/>
      <c r="F137" s="30"/>
      <c r="G137" s="10"/>
      <c r="H137" s="24"/>
      <c r="I137" s="45"/>
      <c r="J137" s="25"/>
      <c r="K137" s="45"/>
      <c r="L137" s="11"/>
    </row>
    <row r="138" spans="1:14" s="1" customFormat="1">
      <c r="A138" s="15">
        <f>A136+7</f>
        <v>43135</v>
      </c>
      <c r="B138" s="20">
        <f>C136+F136-G136</f>
        <v>2890.8977532296158</v>
      </c>
      <c r="C138" s="17">
        <f>B138+(B138*0.03)</f>
        <v>2977.6246858265044</v>
      </c>
      <c r="D138" s="17">
        <f>B138/3250</f>
        <v>0.88950700099372793</v>
      </c>
      <c r="E138" s="28">
        <f>(C138-B138)/D138</f>
        <v>97.500000000000227</v>
      </c>
      <c r="F138" s="26"/>
      <c r="G138" s="18"/>
      <c r="H138" s="19">
        <f>D138*50/B138</f>
        <v>1.5384615384615385E-2</v>
      </c>
      <c r="I138" s="43"/>
      <c r="J138" s="18"/>
      <c r="K138" s="43"/>
      <c r="L138" s="9"/>
      <c r="M138" s="31"/>
      <c r="N138" s="31"/>
    </row>
    <row r="139" spans="1:14" s="1" customFormat="1">
      <c r="A139" s="15">
        <f>A138+7</f>
        <v>43142</v>
      </c>
      <c r="B139" s="20">
        <f>C138+F138-G138</f>
        <v>2977.6246858265044</v>
      </c>
      <c r="C139" s="17">
        <f>B139+(B139*0.03)</f>
        <v>3066.9534264012996</v>
      </c>
      <c r="D139" s="17">
        <f>B139/3250</f>
        <v>0.91619221102353987</v>
      </c>
      <c r="E139" s="28">
        <f>(C139-B139)/D139</f>
        <v>97.499999999999986</v>
      </c>
      <c r="F139" s="18"/>
      <c r="G139" s="18"/>
      <c r="H139" s="19">
        <f>D139*50/B139</f>
        <v>1.5384615384615385E-2</v>
      </c>
      <c r="I139" s="43"/>
      <c r="J139" s="18"/>
      <c r="K139" s="43"/>
      <c r="L139" s="9"/>
    </row>
    <row r="140" spans="1:14" s="1" customFormat="1">
      <c r="A140" s="15">
        <f>A139+7</f>
        <v>43149</v>
      </c>
      <c r="B140" s="20">
        <f>C139+F139-G139</f>
        <v>3066.9534264012996</v>
      </c>
      <c r="C140" s="17">
        <f>B140+(B140*0.03)</f>
        <v>3158.9620291933384</v>
      </c>
      <c r="D140" s="17">
        <f>B140/3250</f>
        <v>0.94367797735424597</v>
      </c>
      <c r="E140" s="28">
        <f>(C140-B140)/D140</f>
        <v>97.499999999999801</v>
      </c>
      <c r="F140" s="18"/>
      <c r="G140" s="18"/>
      <c r="H140" s="19">
        <f>D140*50/B140</f>
        <v>1.5384615384615385E-2</v>
      </c>
      <c r="I140" s="43"/>
      <c r="J140" s="18"/>
      <c r="K140" s="43"/>
      <c r="L140" s="9"/>
      <c r="M140" s="31"/>
      <c r="N140" s="31"/>
    </row>
    <row r="141" spans="1:14" s="1" customFormat="1" ht="13" thickBot="1">
      <c r="A141" s="15">
        <f>A140+7</f>
        <v>43156</v>
      </c>
      <c r="B141" s="20">
        <f>C140+F140-G140</f>
        <v>3158.9620291933384</v>
      </c>
      <c r="C141" s="17">
        <f>B141+(B141*0.03)</f>
        <v>3253.7308900691387</v>
      </c>
      <c r="D141" s="17">
        <f>B141/3250</f>
        <v>0.9719883166748734</v>
      </c>
      <c r="E141" s="28">
        <f>(C141-B141)/D141</f>
        <v>97.500000000000171</v>
      </c>
      <c r="F141" s="18"/>
      <c r="G141" s="18"/>
      <c r="H141" s="19">
        <f>D141*50/B141</f>
        <v>1.5384615384615385E-2</v>
      </c>
      <c r="I141" s="43"/>
      <c r="J141" s="18"/>
      <c r="K141" s="43"/>
      <c r="L141" s="9"/>
      <c r="M141" s="31"/>
      <c r="N141" s="31"/>
    </row>
    <row r="142" spans="1:14" ht="13" thickBot="1">
      <c r="A142" s="13"/>
      <c r="B142" s="22"/>
      <c r="C142" s="23"/>
      <c r="D142" s="23"/>
      <c r="E142" s="27"/>
      <c r="F142" s="30"/>
      <c r="G142" s="10"/>
      <c r="H142" s="24"/>
      <c r="I142" s="45"/>
      <c r="J142" s="25"/>
      <c r="K142" s="45"/>
      <c r="L142" s="11"/>
    </row>
    <row r="143" spans="1:14" s="1" customFormat="1">
      <c r="A143" s="15">
        <f>A141+7</f>
        <v>43163</v>
      </c>
      <c r="B143" s="20">
        <f>C141+F141-G141</f>
        <v>3253.7308900691387</v>
      </c>
      <c r="C143" s="17">
        <f>B143+(B143*0.03)</f>
        <v>3351.3428167712127</v>
      </c>
      <c r="D143" s="17">
        <f>B143/3250</f>
        <v>1.0011479661751197</v>
      </c>
      <c r="E143" s="28">
        <f>(C143-B143)/D143</f>
        <v>97.499999999999844</v>
      </c>
      <c r="F143" s="26"/>
      <c r="G143" s="18"/>
      <c r="H143" s="19">
        <f>D143*50/B143</f>
        <v>1.5384615384615385E-2</v>
      </c>
      <c r="I143" s="43"/>
      <c r="J143" s="18"/>
      <c r="K143" s="43"/>
      <c r="L143" s="9"/>
      <c r="M143" s="31"/>
      <c r="N143" s="31"/>
    </row>
    <row r="144" spans="1:14" s="1" customFormat="1">
      <c r="A144" s="15">
        <f>A143+7</f>
        <v>43170</v>
      </c>
      <c r="B144" s="20">
        <f>C143+F143-G143</f>
        <v>3351.3428167712127</v>
      </c>
      <c r="C144" s="17">
        <f>B144+(B144*0.03)</f>
        <v>3451.883101274349</v>
      </c>
      <c r="D144" s="17">
        <f>B144/3250</f>
        <v>1.0311824051603731</v>
      </c>
      <c r="E144" s="28">
        <f>(C144-B144)/D144</f>
        <v>97.499999999999886</v>
      </c>
      <c r="F144" s="18"/>
      <c r="G144" s="18"/>
      <c r="H144" s="19">
        <f>D144*50/B144</f>
        <v>1.5384615384615384E-2</v>
      </c>
      <c r="I144" s="43"/>
      <c r="J144" s="18"/>
      <c r="K144" s="43"/>
      <c r="L144" s="9"/>
    </row>
    <row r="145" spans="1:14" s="1" customFormat="1">
      <c r="A145" s="15">
        <f>A144+7</f>
        <v>43177</v>
      </c>
      <c r="B145" s="20">
        <f>C144+F144-G144</f>
        <v>3451.883101274349</v>
      </c>
      <c r="C145" s="17">
        <f>B145+(B145*0.03)</f>
        <v>3555.4395943125796</v>
      </c>
      <c r="D145" s="17">
        <f>B145/3250</f>
        <v>1.0621178773151843</v>
      </c>
      <c r="E145" s="28">
        <f>(C145-B145)/D145</f>
        <v>97.500000000000185</v>
      </c>
      <c r="F145" s="18"/>
      <c r="G145" s="18"/>
      <c r="H145" s="19">
        <f>D145*50/B145</f>
        <v>1.5384615384615384E-2</v>
      </c>
      <c r="I145" s="43"/>
      <c r="J145" s="18"/>
      <c r="K145" s="43"/>
      <c r="L145" s="9"/>
      <c r="M145" s="31"/>
      <c r="N145" s="31"/>
    </row>
    <row r="146" spans="1:14" s="1" customFormat="1" ht="13" thickBot="1">
      <c r="A146" s="15">
        <f>A145+7</f>
        <v>43184</v>
      </c>
      <c r="B146" s="20">
        <f>C145+F145-G145</f>
        <v>3555.4395943125796</v>
      </c>
      <c r="C146" s="17">
        <f>B146+(B146*0.03)</f>
        <v>3662.1027821419571</v>
      </c>
      <c r="D146" s="17">
        <f>B146/3250</f>
        <v>1.09398141363464</v>
      </c>
      <c r="E146" s="28">
        <f>(C146-B146)/D146</f>
        <v>97.500000000000028</v>
      </c>
      <c r="F146" s="18"/>
      <c r="G146" s="18"/>
      <c r="H146" s="19">
        <f>D146*50/B146</f>
        <v>1.5384615384615385E-2</v>
      </c>
      <c r="I146" s="43"/>
      <c r="J146" s="18"/>
      <c r="K146" s="43"/>
      <c r="L146" s="9"/>
      <c r="M146" s="31"/>
      <c r="N146" s="31"/>
    </row>
    <row r="147" spans="1:14" ht="13" thickBot="1">
      <c r="A147" s="13"/>
      <c r="B147" s="22"/>
      <c r="C147" s="23"/>
      <c r="D147" s="23"/>
      <c r="E147" s="27"/>
      <c r="F147" s="30"/>
      <c r="G147" s="10"/>
      <c r="H147" s="24"/>
      <c r="I147" s="45"/>
      <c r="J147" s="25"/>
      <c r="K147" s="45"/>
      <c r="L147" s="11"/>
    </row>
    <row r="148" spans="1:14" s="1" customFormat="1">
      <c r="A148" s="15">
        <f>A146+7</f>
        <v>43191</v>
      </c>
      <c r="B148" s="20">
        <f>C146+F146-G146</f>
        <v>3662.1027821419571</v>
      </c>
      <c r="C148" s="17">
        <f>B148+(B148*0.03)</f>
        <v>3771.9658656062156</v>
      </c>
      <c r="D148" s="17">
        <f>B148/3250</f>
        <v>1.1268008560436791</v>
      </c>
      <c r="E148" s="28">
        <f>(C148-B148)/D148</f>
        <v>97.499999999999886</v>
      </c>
      <c r="F148" s="26"/>
      <c r="G148" s="18"/>
      <c r="H148" s="19">
        <f>D148*50/B148</f>
        <v>1.5384615384615384E-2</v>
      </c>
      <c r="I148" s="43"/>
      <c r="J148" s="18"/>
      <c r="K148" s="43"/>
      <c r="L148" s="9"/>
      <c r="M148" s="31"/>
      <c r="N148" s="31"/>
    </row>
    <row r="149" spans="1:14" s="1" customFormat="1">
      <c r="A149" s="15">
        <f>A148+7</f>
        <v>43198</v>
      </c>
      <c r="B149" s="20">
        <f>C148+F148-G148</f>
        <v>3771.9658656062156</v>
      </c>
      <c r="C149" s="17">
        <f>B149+(B149*0.03)</f>
        <v>3885.1248415744021</v>
      </c>
      <c r="D149" s="17">
        <f>B149/3250</f>
        <v>1.1606048817249894</v>
      </c>
      <c r="E149" s="28">
        <f>(C149-B149)/D149</f>
        <v>97.500000000000028</v>
      </c>
      <c r="F149" s="18"/>
      <c r="G149" s="18"/>
      <c r="H149" s="19">
        <f>D149*50/B149</f>
        <v>1.5384615384615385E-2</v>
      </c>
      <c r="I149" s="43"/>
      <c r="J149" s="18"/>
      <c r="K149" s="43"/>
      <c r="L149" s="9"/>
    </row>
    <row r="150" spans="1:14" s="1" customFormat="1">
      <c r="A150" s="15">
        <f>A149+7</f>
        <v>43205</v>
      </c>
      <c r="B150" s="20">
        <f>C149+F149-G149</f>
        <v>3885.1248415744021</v>
      </c>
      <c r="C150" s="17">
        <f>B150+(B150*0.03)</f>
        <v>4001.6785868216343</v>
      </c>
      <c r="D150" s="17">
        <f>B150/3250</f>
        <v>1.1954230281767391</v>
      </c>
      <c r="E150" s="28">
        <f>(C150-B150)/D150</f>
        <v>97.500000000000114</v>
      </c>
      <c r="F150" s="18"/>
      <c r="G150" s="18"/>
      <c r="H150" s="19">
        <f>D150*50/B150</f>
        <v>1.5384615384615385E-2</v>
      </c>
      <c r="I150" s="43"/>
      <c r="J150" s="18"/>
      <c r="K150" s="43"/>
      <c r="L150" s="9"/>
      <c r="M150" s="31"/>
      <c r="N150" s="31"/>
    </row>
    <row r="151" spans="1:14" s="1" customFormat="1" ht="13" thickBot="1">
      <c r="A151" s="15">
        <f>A150+7</f>
        <v>43212</v>
      </c>
      <c r="B151" s="20">
        <f>C150+F150-G150</f>
        <v>4001.6785868216343</v>
      </c>
      <c r="C151" s="17">
        <f>B151+(B151*0.03)</f>
        <v>4121.7289444262833</v>
      </c>
      <c r="D151" s="17">
        <f>B151/3250</f>
        <v>1.2312857190220414</v>
      </c>
      <c r="E151" s="28">
        <f>(C151-B151)/D151</f>
        <v>97.499999999999957</v>
      </c>
      <c r="F151" s="18"/>
      <c r="G151" s="18"/>
      <c r="H151" s="19">
        <f>D151*50/B151</f>
        <v>1.5384615384615385E-2</v>
      </c>
      <c r="I151" s="43"/>
      <c r="J151" s="18"/>
      <c r="K151" s="43"/>
      <c r="L151" s="9"/>
      <c r="M151" s="31"/>
      <c r="N151" s="31"/>
    </row>
    <row r="152" spans="1:14" ht="13" thickBot="1">
      <c r="A152" s="13"/>
      <c r="B152" s="22"/>
      <c r="C152" s="23"/>
      <c r="D152" s="23"/>
      <c r="E152" s="27"/>
      <c r="F152" s="30"/>
      <c r="G152" s="10"/>
      <c r="H152" s="24"/>
      <c r="I152" s="45"/>
      <c r="J152" s="25"/>
      <c r="K152" s="45"/>
      <c r="L152" s="11"/>
    </row>
    <row r="153" spans="1:14" s="1" customFormat="1">
      <c r="A153" s="15">
        <f>A151+7</f>
        <v>43219</v>
      </c>
      <c r="B153" s="20">
        <f>C151+F151-G151</f>
        <v>4121.7289444262833</v>
      </c>
      <c r="C153" s="17">
        <f>B153+(B153*0.03)</f>
        <v>4245.3808127590719</v>
      </c>
      <c r="D153" s="17">
        <f>B153/3250</f>
        <v>1.2682242905927026</v>
      </c>
      <c r="E153" s="28">
        <f>(C153-B153)/D153</f>
        <v>97.500000000000057</v>
      </c>
      <c r="F153" s="26"/>
      <c r="G153" s="18"/>
      <c r="H153" s="19">
        <f>D153*50/B153</f>
        <v>1.5384615384615385E-2</v>
      </c>
      <c r="I153" s="43"/>
      <c r="J153" s="18"/>
      <c r="K153" s="43"/>
      <c r="L153" s="9"/>
      <c r="M153" s="31"/>
      <c r="N153" s="31"/>
    </row>
    <row r="154" spans="1:14" s="1" customFormat="1">
      <c r="A154" s="15">
        <f>A153+7</f>
        <v>43226</v>
      </c>
      <c r="B154" s="20">
        <f>C153+F153-G153</f>
        <v>4245.3808127590719</v>
      </c>
      <c r="C154" s="17">
        <f>B154+(B154*0.03)</f>
        <v>4372.7422371418443</v>
      </c>
      <c r="D154" s="17">
        <f>B154/3250</f>
        <v>1.3062710193104836</v>
      </c>
      <c r="E154" s="28">
        <f>(C154-B154)/D154</f>
        <v>97.500000000000171</v>
      </c>
      <c r="F154" s="18"/>
      <c r="G154" s="18"/>
      <c r="H154" s="19">
        <f>D154*50/B154</f>
        <v>1.5384615384615385E-2</v>
      </c>
      <c r="I154" s="43"/>
      <c r="J154" s="18"/>
      <c r="K154" s="43"/>
      <c r="L154" s="9"/>
    </row>
    <row r="155" spans="1:14" s="1" customFormat="1">
      <c r="A155" s="15">
        <f>A154+7</f>
        <v>43233</v>
      </c>
      <c r="B155" s="20">
        <f>C154+F154-G154</f>
        <v>4372.7422371418443</v>
      </c>
      <c r="C155" s="17">
        <f>B155+(B155*0.03)</f>
        <v>4503.9245042560997</v>
      </c>
      <c r="D155" s="17">
        <f>B155/3250</f>
        <v>1.3454591498897983</v>
      </c>
      <c r="E155" s="28">
        <f>(C155-B155)/D155</f>
        <v>97.500000000000057</v>
      </c>
      <c r="F155" s="18"/>
      <c r="G155" s="18"/>
      <c r="H155" s="19">
        <f>D155*50/B155</f>
        <v>1.5384615384615385E-2</v>
      </c>
      <c r="I155" s="43"/>
      <c r="J155" s="18"/>
      <c r="K155" s="43"/>
      <c r="L155" s="9"/>
      <c r="M155" s="31"/>
      <c r="N155" s="31"/>
    </row>
    <row r="156" spans="1:14" s="1" customFormat="1" ht="13" thickBot="1">
      <c r="A156" s="15">
        <f>A155+7</f>
        <v>43240</v>
      </c>
      <c r="B156" s="20">
        <f>C155+F155-G155</f>
        <v>4503.9245042560997</v>
      </c>
      <c r="C156" s="17">
        <f>B156+(B156*0.03)</f>
        <v>4639.0422393837825</v>
      </c>
      <c r="D156" s="17">
        <f>B156/3250</f>
        <v>1.3858229243864921</v>
      </c>
      <c r="E156" s="28">
        <f>(C156-B156)/D156</f>
        <v>97.499999999999915</v>
      </c>
      <c r="F156" s="18"/>
      <c r="G156" s="18"/>
      <c r="H156" s="19">
        <f>D156*50/B156</f>
        <v>1.5384615384615382E-2</v>
      </c>
      <c r="I156" s="43"/>
      <c r="J156" s="18"/>
      <c r="K156" s="43"/>
      <c r="L156" s="9"/>
      <c r="M156" s="31"/>
      <c r="N156" s="31"/>
    </row>
    <row r="157" spans="1:14" ht="13" thickBot="1">
      <c r="A157" s="13"/>
      <c r="B157" s="22"/>
      <c r="C157" s="23"/>
      <c r="D157" s="23"/>
      <c r="E157" s="27"/>
      <c r="F157" s="30"/>
      <c r="G157" s="10"/>
      <c r="H157" s="24"/>
      <c r="I157" s="45"/>
      <c r="J157" s="25"/>
      <c r="K157" s="45"/>
      <c r="L157" s="11"/>
    </row>
    <row r="158" spans="1:14" s="1" customFormat="1">
      <c r="A158" s="15">
        <f>A156+7</f>
        <v>43247</v>
      </c>
      <c r="B158" s="20">
        <f>C156+F156-G156</f>
        <v>4639.0422393837825</v>
      </c>
      <c r="C158" s="17">
        <f>B158+(B158*0.03)</f>
        <v>4778.2135065652956</v>
      </c>
      <c r="D158" s="17">
        <f>B158/3250</f>
        <v>1.4273976121180869</v>
      </c>
      <c r="E158" s="28">
        <f>(C158-B158)/D158</f>
        <v>97.499999999999687</v>
      </c>
      <c r="F158" s="26"/>
      <c r="G158" s="18"/>
      <c r="H158" s="19">
        <f>D158*50/B158</f>
        <v>1.5384615384615384E-2</v>
      </c>
      <c r="I158" s="43"/>
      <c r="J158" s="18"/>
      <c r="K158" s="43"/>
      <c r="L158" s="9"/>
      <c r="M158" s="31"/>
      <c r="N158" s="31"/>
    </row>
    <row r="159" spans="1:14" s="1" customFormat="1">
      <c r="A159" s="15">
        <f>A158+7</f>
        <v>43254</v>
      </c>
      <c r="B159" s="20">
        <f>C158+F158-G158</f>
        <v>4778.2135065652956</v>
      </c>
      <c r="C159" s="17">
        <f>B159+(B159*0.03)</f>
        <v>4921.5599117622542</v>
      </c>
      <c r="D159" s="17">
        <f>B159/3250</f>
        <v>1.4702195404816294</v>
      </c>
      <c r="E159" s="28">
        <f>(C159-B159)/D159</f>
        <v>97.499999999999815</v>
      </c>
      <c r="F159" s="18"/>
      <c r="G159" s="18"/>
      <c r="H159" s="19">
        <f>D159*50/B159</f>
        <v>1.5384615384615384E-2</v>
      </c>
      <c r="I159" s="43"/>
      <c r="J159" s="18"/>
      <c r="K159" s="43"/>
      <c r="L159" s="9"/>
    </row>
    <row r="160" spans="1:14" s="1" customFormat="1">
      <c r="A160" s="15">
        <f>A159+7</f>
        <v>43261</v>
      </c>
      <c r="B160" s="20">
        <f>C159+F159-G159</f>
        <v>4921.5599117622542</v>
      </c>
      <c r="C160" s="17">
        <f>B160+(B160*0.03)</f>
        <v>5069.2067091151221</v>
      </c>
      <c r="D160" s="17">
        <f>B160/3250</f>
        <v>1.5143261266960781</v>
      </c>
      <c r="E160" s="28">
        <f>(C160-B160)/D160</f>
        <v>97.500000000000185</v>
      </c>
      <c r="F160" s="18"/>
      <c r="G160" s="18"/>
      <c r="H160" s="19">
        <f>D160*50/B160</f>
        <v>1.5384615384615384E-2</v>
      </c>
      <c r="I160" s="43"/>
      <c r="J160" s="18"/>
      <c r="K160" s="43"/>
      <c r="L160" s="9"/>
      <c r="M160" s="31"/>
      <c r="N160" s="31"/>
    </row>
    <row r="161" spans="1:14" s="1" customFormat="1" ht="13" thickBot="1">
      <c r="A161" s="15">
        <f>A160+7</f>
        <v>43268</v>
      </c>
      <c r="B161" s="20">
        <f>C160+F160-G160</f>
        <v>5069.2067091151221</v>
      </c>
      <c r="C161" s="17">
        <f>B161+(B161*0.03)</f>
        <v>5221.2829103885761</v>
      </c>
      <c r="D161" s="17">
        <f>B161/3250</f>
        <v>1.5597559104969607</v>
      </c>
      <c r="E161" s="28">
        <f>(C161-B161)/D161</f>
        <v>97.500000000000199</v>
      </c>
      <c r="F161" s="18"/>
      <c r="G161" s="18"/>
      <c r="H161" s="19">
        <f>D161*50/B161</f>
        <v>1.5384615384615385E-2</v>
      </c>
      <c r="I161" s="43"/>
      <c r="J161" s="18"/>
      <c r="K161" s="43"/>
      <c r="L161" s="9"/>
      <c r="M161" s="31"/>
      <c r="N161" s="31"/>
    </row>
    <row r="162" spans="1:14" ht="13" thickBot="1">
      <c r="A162" s="13"/>
      <c r="B162" s="22"/>
      <c r="C162" s="23"/>
      <c r="D162" s="23"/>
      <c r="E162" s="27"/>
      <c r="F162" s="30"/>
      <c r="G162" s="10"/>
      <c r="H162" s="24"/>
      <c r="I162" s="45"/>
      <c r="J162" s="25"/>
      <c r="K162" s="45"/>
      <c r="L162" s="11"/>
    </row>
    <row r="163" spans="1:14" s="1" customFormat="1">
      <c r="A163" s="15">
        <f>A161+7</f>
        <v>43275</v>
      </c>
      <c r="B163" s="20">
        <f>C161+F161-G161</f>
        <v>5221.2829103885761</v>
      </c>
      <c r="C163" s="17">
        <f>B163+(B163*0.03)</f>
        <v>5377.9213977002337</v>
      </c>
      <c r="D163" s="17">
        <f>B163/3250</f>
        <v>1.6065485878118695</v>
      </c>
      <c r="E163" s="28">
        <f>(C163-B163)/D163</f>
        <v>97.500000000000213</v>
      </c>
      <c r="F163" s="26"/>
      <c r="G163" s="18"/>
      <c r="H163" s="19">
        <f>D163*50/B163</f>
        <v>1.5384615384615385E-2</v>
      </c>
      <c r="I163" s="43"/>
      <c r="J163" s="18"/>
      <c r="K163" s="43"/>
      <c r="L163" s="9"/>
      <c r="M163" s="31"/>
      <c r="N163" s="31"/>
    </row>
    <row r="164" spans="1:14" s="1" customFormat="1">
      <c r="A164" s="15">
        <f>A163+7</f>
        <v>43282</v>
      </c>
      <c r="B164" s="20">
        <f>C163+F163-G163</f>
        <v>5377.9213977002337</v>
      </c>
      <c r="C164" s="17">
        <f>B164+(B164*0.03)</f>
        <v>5539.2590396312407</v>
      </c>
      <c r="D164" s="17">
        <f>B164/3250</f>
        <v>1.6547450454462258</v>
      </c>
      <c r="E164" s="28">
        <f>(C164-B164)/D164</f>
        <v>97.500000000000028</v>
      </c>
      <c r="F164" s="18"/>
      <c r="G164" s="18"/>
      <c r="H164" s="19">
        <f>D164*50/B164</f>
        <v>1.5384615384615385E-2</v>
      </c>
      <c r="I164" s="43"/>
      <c r="J164" s="18"/>
      <c r="K164" s="43"/>
      <c r="L164" s="9"/>
    </row>
    <row r="165" spans="1:14" s="1" customFormat="1">
      <c r="A165" s="15">
        <f>A164+7</f>
        <v>43289</v>
      </c>
      <c r="B165" s="20">
        <f>C164+F164-G164</f>
        <v>5539.2590396312407</v>
      </c>
      <c r="C165" s="17">
        <f>B165+(B165*0.03)</f>
        <v>5705.4368108201779</v>
      </c>
      <c r="D165" s="17">
        <f>B165/3250</f>
        <v>1.7043873968096126</v>
      </c>
      <c r="E165" s="28">
        <f>(C165-B165)/D165</f>
        <v>97.499999999999972</v>
      </c>
      <c r="F165" s="18"/>
      <c r="G165" s="18"/>
      <c r="H165" s="19">
        <f>D165*50/B165</f>
        <v>1.5384615384615384E-2</v>
      </c>
      <c r="I165" s="43"/>
      <c r="J165" s="18"/>
      <c r="K165" s="43"/>
      <c r="L165" s="9"/>
      <c r="M165" s="31"/>
      <c r="N165" s="31"/>
    </row>
    <row r="166" spans="1:14" s="1" customFormat="1" ht="13" thickBot="1">
      <c r="A166" s="15">
        <f>A165+7</f>
        <v>43296</v>
      </c>
      <c r="B166" s="20">
        <f>C165+F165-G165</f>
        <v>5705.4368108201779</v>
      </c>
      <c r="C166" s="17">
        <f>B166+(B166*0.03)</f>
        <v>5876.5999151447832</v>
      </c>
      <c r="D166" s="17">
        <f>B166/3250</f>
        <v>1.7555190187139009</v>
      </c>
      <c r="E166" s="28">
        <f>(C166-B166)/D166</f>
        <v>97.499999999999943</v>
      </c>
      <c r="F166" s="18"/>
      <c r="G166" s="18"/>
      <c r="H166" s="19">
        <f>D166*50/B166</f>
        <v>1.5384615384615385E-2</v>
      </c>
      <c r="I166" s="43"/>
      <c r="J166" s="18"/>
      <c r="K166" s="43"/>
      <c r="L166" s="9"/>
      <c r="M166" s="31"/>
      <c r="N166" s="31"/>
    </row>
    <row r="167" spans="1:14" ht="13" thickBot="1">
      <c r="A167" s="13"/>
      <c r="B167" s="22"/>
      <c r="C167" s="23"/>
      <c r="D167" s="23"/>
      <c r="E167" s="27"/>
      <c r="F167" s="30"/>
      <c r="G167" s="10"/>
      <c r="H167" s="24"/>
      <c r="I167" s="45"/>
      <c r="J167" s="25"/>
      <c r="K167" s="45"/>
      <c r="L167" s="11"/>
    </row>
    <row r="168" spans="1:14" s="1" customFormat="1">
      <c r="A168" s="15">
        <f>A166+7</f>
        <v>43303</v>
      </c>
      <c r="B168" s="20">
        <f>C166+F166-G166</f>
        <v>5876.5999151447832</v>
      </c>
      <c r="C168" s="17">
        <f>B168+(B168*0.03)</f>
        <v>6052.8979125991264</v>
      </c>
      <c r="D168" s="17">
        <f>B168/3250</f>
        <v>1.8081845892753179</v>
      </c>
      <c r="E168" s="28">
        <f>(C168-B168)/D168</f>
        <v>97.499999999999844</v>
      </c>
      <c r="F168" s="26"/>
      <c r="G168" s="63"/>
      <c r="H168" s="19">
        <f>D168*50/B168</f>
        <v>1.5384615384615385E-2</v>
      </c>
      <c r="I168" s="43"/>
      <c r="J168" s="18"/>
      <c r="K168" s="43"/>
      <c r="L168" s="9"/>
      <c r="M168" s="31"/>
      <c r="N168" s="31"/>
    </row>
    <row r="169" spans="1:14" s="1" customFormat="1">
      <c r="A169" s="15">
        <f>A168+7</f>
        <v>43310</v>
      </c>
      <c r="B169" s="20">
        <f>C168+F168-G168</f>
        <v>6052.8979125991264</v>
      </c>
      <c r="C169" s="17">
        <f>B169+(B169*0.03)</f>
        <v>6234.4848499771006</v>
      </c>
      <c r="D169" s="17">
        <f>B169/3250</f>
        <v>1.8624301269535772</v>
      </c>
      <c r="E169" s="28">
        <f>(C169-B169)/D169</f>
        <v>97.500000000000227</v>
      </c>
      <c r="F169" s="26"/>
      <c r="G169" s="63"/>
      <c r="H169" s="19">
        <f>D169*50/B169</f>
        <v>1.5384615384615384E-2</v>
      </c>
      <c r="I169" s="43"/>
      <c r="J169" s="18"/>
      <c r="K169" s="43"/>
      <c r="L169" s="9"/>
    </row>
    <row r="170" spans="1:14" s="1" customFormat="1">
      <c r="A170" s="15">
        <f>A169+7</f>
        <v>43317</v>
      </c>
      <c r="B170" s="20">
        <f>C169+F169-G169</f>
        <v>6234.4848499771006</v>
      </c>
      <c r="C170" s="17">
        <f>B170+(B170*0.03)</f>
        <v>6421.5193954764136</v>
      </c>
      <c r="D170" s="17">
        <f>B170/3250</f>
        <v>1.9183030307621849</v>
      </c>
      <c r="E170" s="28">
        <f>(C170-B170)/D170</f>
        <v>97.5</v>
      </c>
      <c r="F170" s="26"/>
      <c r="G170" s="63"/>
      <c r="H170" s="19">
        <f>D170*50/B170</f>
        <v>1.5384615384615385E-2</v>
      </c>
      <c r="I170" s="43"/>
      <c r="J170" s="18"/>
      <c r="K170" s="43"/>
      <c r="L170" s="9"/>
    </row>
    <row r="171" spans="1:14" s="1" customFormat="1" ht="13" thickBot="1">
      <c r="A171" s="15">
        <f>A170+7</f>
        <v>43324</v>
      </c>
      <c r="B171" s="20">
        <f>C170+F170-G170</f>
        <v>6421.5193954764136</v>
      </c>
      <c r="C171" s="17">
        <f>B171+(B171*0.03)</f>
        <v>6614.1649773407062</v>
      </c>
      <c r="D171" s="17">
        <f>B171/3250</f>
        <v>1.9758521216850504</v>
      </c>
      <c r="E171" s="28">
        <f>(C171-B171)/D171</f>
        <v>97.500000000000085</v>
      </c>
      <c r="F171" s="18"/>
      <c r="G171" s="18"/>
      <c r="H171" s="19">
        <f>D171*50/B171</f>
        <v>1.5384615384615385E-2</v>
      </c>
      <c r="I171" s="43"/>
      <c r="J171" s="18"/>
      <c r="K171" s="43"/>
      <c r="L171" s="9"/>
    </row>
    <row r="172" spans="1:14" ht="13" thickBot="1">
      <c r="A172" s="13"/>
      <c r="B172" s="22"/>
      <c r="C172" s="23"/>
      <c r="D172" s="23"/>
      <c r="E172" s="27"/>
      <c r="F172" s="30"/>
      <c r="G172" s="10"/>
      <c r="H172" s="24"/>
      <c r="I172" s="45"/>
      <c r="J172" s="25"/>
      <c r="K172" s="45"/>
      <c r="L172" s="11"/>
    </row>
    <row r="173" spans="1:14" s="1" customFormat="1">
      <c r="A173" s="15">
        <f>A171+7</f>
        <v>43331</v>
      </c>
      <c r="B173" s="20">
        <f>C171+F171-G171</f>
        <v>6614.1649773407062</v>
      </c>
      <c r="C173" s="17">
        <f>B173+(B173*0.03)</f>
        <v>6812.5899266609276</v>
      </c>
      <c r="D173" s="17">
        <f>B173/3250</f>
        <v>2.0351276853356017</v>
      </c>
      <c r="E173" s="28">
        <f>(C173-B173)/D173</f>
        <v>97.500000000000142</v>
      </c>
      <c r="F173" s="26"/>
      <c r="G173" s="18"/>
      <c r="H173" s="19">
        <f>D173*50/B173</f>
        <v>1.5384615384615384E-2</v>
      </c>
      <c r="I173" s="43"/>
      <c r="J173" s="18"/>
      <c r="K173" s="43"/>
      <c r="L173" s="9"/>
    </row>
    <row r="174" spans="1:14" s="1" customFormat="1">
      <c r="A174" s="15">
        <f>A173+7</f>
        <v>43338</v>
      </c>
      <c r="B174" s="20">
        <f>C173+F173-G173</f>
        <v>6812.5899266609276</v>
      </c>
      <c r="C174" s="17">
        <f>B174+(B174*0.03)</f>
        <v>7016.9676244607554</v>
      </c>
      <c r="D174" s="17">
        <f>B174/3250</f>
        <v>2.0961815158956703</v>
      </c>
      <c r="E174" s="28">
        <f>(C174-B174)/D174</f>
        <v>97.499999999999943</v>
      </c>
      <c r="F174" s="18"/>
      <c r="G174" s="18"/>
      <c r="H174" s="19">
        <f>D174*50/B174</f>
        <v>1.5384615384615385E-2</v>
      </c>
      <c r="I174" s="43"/>
      <c r="J174" s="18"/>
      <c r="K174" s="43"/>
      <c r="L174" s="9"/>
    </row>
    <row r="175" spans="1:14" s="1" customFormat="1">
      <c r="A175" s="15">
        <f>A174+7</f>
        <v>43345</v>
      </c>
      <c r="B175" s="20">
        <f>C174+F174-G174</f>
        <v>7016.9676244607554</v>
      </c>
      <c r="C175" s="17">
        <f>B175+(B175*0.03)</f>
        <v>7227.4766531945779</v>
      </c>
      <c r="D175" s="17">
        <f>B175/3250</f>
        <v>2.15906696137254</v>
      </c>
      <c r="E175" s="28">
        <f>(C175-B175)/D175</f>
        <v>97.499999999999957</v>
      </c>
      <c r="F175" s="18"/>
      <c r="G175" s="18"/>
      <c r="H175" s="19">
        <f>D175*50/B175</f>
        <v>1.5384615384615384E-2</v>
      </c>
      <c r="I175" s="43"/>
      <c r="J175" s="18"/>
      <c r="K175" s="43"/>
      <c r="L175" s="9"/>
    </row>
    <row r="176" spans="1:14" s="1" customFormat="1" ht="13" thickBot="1">
      <c r="A176" s="15">
        <f>A175+7</f>
        <v>43352</v>
      </c>
      <c r="B176" s="20">
        <f>C175+F175-G175</f>
        <v>7227.4766531945779</v>
      </c>
      <c r="C176" s="17">
        <f>B176+(B176*0.03)</f>
        <v>7444.3009527904151</v>
      </c>
      <c r="D176" s="17">
        <f>B176/3250</f>
        <v>2.2238389702137162</v>
      </c>
      <c r="E176" s="28">
        <f>(C176-B176)/D176</f>
        <v>97.499999999999915</v>
      </c>
      <c r="F176" s="18"/>
      <c r="G176" s="18"/>
      <c r="H176" s="19">
        <f>D176*50/B176</f>
        <v>1.5384615384615385E-2</v>
      </c>
      <c r="I176" s="43"/>
      <c r="J176" s="18"/>
      <c r="K176" s="43"/>
      <c r="L176" s="9"/>
    </row>
    <row r="177" spans="1:12" ht="13" thickBot="1">
      <c r="A177" s="13"/>
      <c r="B177" s="22"/>
      <c r="C177" s="23"/>
      <c r="D177" s="23"/>
      <c r="E177" s="27"/>
      <c r="F177" s="30"/>
      <c r="G177" s="10"/>
      <c r="H177" s="24"/>
      <c r="I177" s="45"/>
      <c r="J177" s="25"/>
      <c r="K177" s="45"/>
      <c r="L177" s="11"/>
    </row>
    <row r="178" spans="1:12" s="1" customFormat="1">
      <c r="A178" s="15">
        <f>A176+7</f>
        <v>43359</v>
      </c>
      <c r="B178" s="20">
        <f>C176+F176-G176</f>
        <v>7444.3009527904151</v>
      </c>
      <c r="C178" s="17">
        <f>B178+(B178*0.03)</f>
        <v>7667.629981374128</v>
      </c>
      <c r="D178" s="17">
        <f>B178/3250</f>
        <v>2.2905541393201276</v>
      </c>
      <c r="E178" s="28">
        <f>(C178-B178)/D178</f>
        <v>97.500000000000199</v>
      </c>
      <c r="F178" s="26"/>
      <c r="G178" s="18"/>
      <c r="H178" s="19">
        <f>D178*50/B178</f>
        <v>1.5384615384615384E-2</v>
      </c>
      <c r="I178" s="43"/>
      <c r="J178" s="18"/>
      <c r="K178" s="43"/>
      <c r="L178" s="9"/>
    </row>
    <row r="179" spans="1:12" s="1" customFormat="1">
      <c r="A179" s="15">
        <f>A178+7</f>
        <v>43366</v>
      </c>
      <c r="B179" s="20">
        <f>C178+F178-G178</f>
        <v>7667.629981374128</v>
      </c>
      <c r="C179" s="17">
        <f>B179+(B179*0.03)</f>
        <v>7897.6588808153519</v>
      </c>
      <c r="D179" s="17">
        <f>B179/3250</f>
        <v>2.3592707634997319</v>
      </c>
      <c r="E179" s="28">
        <f>(C179-B179)/D179</f>
        <v>97.500000000000057</v>
      </c>
      <c r="F179" s="18"/>
      <c r="G179" s="18"/>
      <c r="H179" s="19">
        <f>D179*50/B179</f>
        <v>1.5384615384615385E-2</v>
      </c>
      <c r="I179" s="43"/>
      <c r="J179" s="18"/>
      <c r="K179" s="43"/>
      <c r="L179" s="9"/>
    </row>
    <row r="180" spans="1:12" s="1" customFormat="1">
      <c r="A180" s="15">
        <f>A179+7</f>
        <v>43373</v>
      </c>
      <c r="B180" s="20">
        <f>C179+F179-G179</f>
        <v>7897.6588808153519</v>
      </c>
      <c r="C180" s="17">
        <f>B180+(B180*0.03)</f>
        <v>8134.5886472398124</v>
      </c>
      <c r="D180" s="17">
        <f>B180/3250</f>
        <v>2.4300488864047236</v>
      </c>
      <c r="E180" s="28">
        <f>(C180-B180)/D180</f>
        <v>97.499999999999972</v>
      </c>
      <c r="F180" s="18"/>
      <c r="G180" s="18"/>
      <c r="H180" s="19">
        <f>D180*50/B180</f>
        <v>1.5384615384615384E-2</v>
      </c>
      <c r="I180" s="43"/>
      <c r="J180" s="18"/>
      <c r="K180" s="43"/>
      <c r="L180" s="9"/>
    </row>
    <row r="181" spans="1:12" s="1" customFormat="1" ht="13" thickBot="1">
      <c r="A181" s="15">
        <f>A180+7</f>
        <v>43380</v>
      </c>
      <c r="B181" s="20">
        <f>C180+F180-G180</f>
        <v>8134.5886472398124</v>
      </c>
      <c r="C181" s="17">
        <f>B181+(B181*0.03)</f>
        <v>8378.6263066570064</v>
      </c>
      <c r="D181" s="17">
        <f>B181/3250</f>
        <v>2.5029503529968653</v>
      </c>
      <c r="E181" s="28">
        <f>(C181-B181)/D181</f>
        <v>97.499999999999829</v>
      </c>
      <c r="F181" s="18"/>
      <c r="G181" s="18"/>
      <c r="H181" s="19">
        <f>D181*50/B181</f>
        <v>1.5384615384615384E-2</v>
      </c>
      <c r="I181" s="43"/>
      <c r="J181" s="18"/>
      <c r="K181" s="43"/>
      <c r="L181" s="9"/>
    </row>
    <row r="182" spans="1:12" ht="13" thickBot="1">
      <c r="A182" s="13"/>
      <c r="B182" s="22"/>
      <c r="C182" s="23"/>
      <c r="D182" s="23"/>
      <c r="E182" s="27"/>
      <c r="F182" s="30"/>
      <c r="G182" s="10"/>
      <c r="H182" s="24"/>
      <c r="I182" s="45"/>
      <c r="J182" s="25"/>
      <c r="K182" s="45"/>
      <c r="L182" s="11"/>
    </row>
    <row r="183" spans="1:12" s="1" customFormat="1">
      <c r="A183" s="15">
        <f>A181+7</f>
        <v>43387</v>
      </c>
      <c r="B183" s="20">
        <f>C181+F181-G181</f>
        <v>8378.6263066570064</v>
      </c>
      <c r="C183" s="17">
        <f>B183+(B183*0.03)</f>
        <v>8629.9850958567167</v>
      </c>
      <c r="D183" s="17">
        <f>B183/3250</f>
        <v>2.5780388635867713</v>
      </c>
      <c r="E183" s="28">
        <f>(C183-B183)/D183</f>
        <v>97.500000000000071</v>
      </c>
      <c r="F183" s="26"/>
      <c r="G183" s="18"/>
      <c r="H183" s="19">
        <f>D183*50/B183</f>
        <v>1.5384615384615385E-2</v>
      </c>
      <c r="I183" s="43"/>
      <c r="J183" s="18"/>
      <c r="K183" s="43"/>
      <c r="L183" s="9"/>
    </row>
    <row r="184" spans="1:12" s="1" customFormat="1">
      <c r="A184" s="15">
        <f>A183+7</f>
        <v>43394</v>
      </c>
      <c r="B184" s="20">
        <f>C183+F183-G183</f>
        <v>8629.9850958567167</v>
      </c>
      <c r="C184" s="17">
        <f>B184+(B184*0.03)</f>
        <v>8888.884648732419</v>
      </c>
      <c r="D184" s="17">
        <f>B184/3250</f>
        <v>2.6553800294943746</v>
      </c>
      <c r="E184" s="28">
        <f>(C184-B184)/D184</f>
        <v>97.500000000000284</v>
      </c>
      <c r="F184" s="18"/>
      <c r="G184" s="18"/>
      <c r="H184" s="19">
        <f>D184*50/B184</f>
        <v>1.5384615384615385E-2</v>
      </c>
      <c r="I184" s="43"/>
      <c r="J184" s="18"/>
      <c r="K184" s="43"/>
      <c r="L184" s="9"/>
    </row>
    <row r="185" spans="1:12" s="1" customFormat="1">
      <c r="A185" s="15">
        <f>A184+7</f>
        <v>43401</v>
      </c>
      <c r="B185" s="20">
        <f>C184+F184-G184</f>
        <v>8888.884648732419</v>
      </c>
      <c r="C185" s="17">
        <f>B185+(B185*0.03)</f>
        <v>9155.5511881943912</v>
      </c>
      <c r="D185" s="17">
        <f>B185/3250</f>
        <v>2.7350414303792059</v>
      </c>
      <c r="E185" s="28">
        <f>(C185-B185)/D185</f>
        <v>97.499999999999872</v>
      </c>
      <c r="F185" s="18"/>
      <c r="G185" s="18"/>
      <c r="H185" s="19">
        <f>D185*50/B185</f>
        <v>1.5384615384615385E-2</v>
      </c>
      <c r="I185" s="43"/>
      <c r="J185" s="18"/>
      <c r="K185" s="43"/>
      <c r="L185" s="9"/>
    </row>
    <row r="186" spans="1:12" s="1" customFormat="1" ht="13" thickBot="1">
      <c r="A186" s="15">
        <f>A185+7</f>
        <v>43408</v>
      </c>
      <c r="B186" s="20">
        <f>C185+F185-G185</f>
        <v>9155.5511881943912</v>
      </c>
      <c r="C186" s="17">
        <f>B186+(B186*0.03)</f>
        <v>9430.2177238402237</v>
      </c>
      <c r="D186" s="17">
        <f>B186/3250</f>
        <v>2.8170926732905821</v>
      </c>
      <c r="E186" s="28">
        <f>(C186-B186)/D186</f>
        <v>97.500000000000256</v>
      </c>
      <c r="F186" s="18"/>
      <c r="G186" s="18"/>
      <c r="H186" s="19">
        <f>D186*50/B186</f>
        <v>1.5384615384615385E-2</v>
      </c>
      <c r="I186" s="43"/>
      <c r="J186" s="18"/>
      <c r="K186" s="43"/>
      <c r="L186" s="9"/>
    </row>
    <row r="187" spans="1:12" ht="13" thickBot="1">
      <c r="A187" s="13"/>
      <c r="B187" s="22"/>
      <c r="C187" s="23"/>
      <c r="D187" s="23"/>
      <c r="E187" s="27"/>
      <c r="F187" s="30"/>
      <c r="G187" s="10"/>
      <c r="H187" s="24"/>
      <c r="I187" s="45"/>
      <c r="J187" s="25"/>
      <c r="K187" s="45"/>
      <c r="L187" s="11"/>
    </row>
    <row r="188" spans="1:12" s="1" customFormat="1">
      <c r="A188" s="15">
        <f>A186+7</f>
        <v>43415</v>
      </c>
      <c r="B188" s="20">
        <f>C186+F186-G186</f>
        <v>9430.2177238402237</v>
      </c>
      <c r="C188" s="17">
        <f>B188+(B188*0.03)</f>
        <v>9713.1242555554309</v>
      </c>
      <c r="D188" s="17">
        <f>B188/3250</f>
        <v>2.9016054534892994</v>
      </c>
      <c r="E188" s="28">
        <f>(C188-B188)/D188</f>
        <v>97.500000000000156</v>
      </c>
      <c r="F188" s="26"/>
      <c r="G188" s="18"/>
      <c r="H188" s="19">
        <f>D188*50/B188</f>
        <v>1.5384615384615384E-2</v>
      </c>
      <c r="I188" s="43"/>
      <c r="J188" s="18"/>
      <c r="K188" s="43"/>
      <c r="L188" s="9"/>
    </row>
    <row r="189" spans="1:12" s="1" customFormat="1">
      <c r="A189" s="15">
        <f>A188+7</f>
        <v>43422</v>
      </c>
      <c r="B189" s="20">
        <f>C188+F188-G188</f>
        <v>9713.1242555554309</v>
      </c>
      <c r="C189" s="17">
        <f>B189+(B189*0.03)</f>
        <v>10004.517983222093</v>
      </c>
      <c r="D189" s="17">
        <f>B189/3250</f>
        <v>2.9886536170939788</v>
      </c>
      <c r="E189" s="28">
        <f>(C189-B189)/D189</f>
        <v>97.499999999999687</v>
      </c>
      <c r="F189" s="18"/>
      <c r="G189" s="18"/>
      <c r="H189" s="19">
        <f>D189*50/B189</f>
        <v>1.5384615384615384E-2</v>
      </c>
      <c r="I189" s="43"/>
      <c r="J189" s="18"/>
      <c r="K189" s="43"/>
      <c r="L189" s="9"/>
    </row>
    <row r="190" spans="1:12" s="1" customFormat="1">
      <c r="A190" s="15">
        <f>A189+7</f>
        <v>43429</v>
      </c>
      <c r="B190" s="20">
        <f>C189+F189-G189</f>
        <v>10004.517983222093</v>
      </c>
      <c r="C190" s="17">
        <f>B190+(B190*0.03)</f>
        <v>10304.653522718756</v>
      </c>
      <c r="D190" s="17">
        <f>B190/3250</f>
        <v>3.0783132256067978</v>
      </c>
      <c r="E190" s="28">
        <f>(C190-B190)/D190</f>
        <v>97.500000000000114</v>
      </c>
      <c r="F190" s="18"/>
      <c r="G190" s="18"/>
      <c r="H190" s="19">
        <f>D190*50/B190</f>
        <v>1.5384615384615384E-2</v>
      </c>
      <c r="I190" s="43"/>
      <c r="J190" s="18"/>
      <c r="K190" s="43"/>
      <c r="L190" s="9"/>
    </row>
    <row r="191" spans="1:12" s="1" customFormat="1" ht="13" thickBot="1">
      <c r="A191" s="15">
        <f>A190+7</f>
        <v>43436</v>
      </c>
      <c r="B191" s="20">
        <f>C190+F190-G190</f>
        <v>10304.653522718756</v>
      </c>
      <c r="C191" s="17">
        <f>B191+(B191*0.03)</f>
        <v>10613.793128400319</v>
      </c>
      <c r="D191" s="17">
        <f>B191/3250</f>
        <v>3.1706626223750018</v>
      </c>
      <c r="E191" s="28">
        <f>(C191-B191)/D191</f>
        <v>97.500000000000071</v>
      </c>
      <c r="F191" s="18"/>
      <c r="G191" s="18"/>
      <c r="H191" s="19">
        <f>D191*50/B191</f>
        <v>1.5384615384615385E-2</v>
      </c>
      <c r="I191" s="43"/>
      <c r="J191" s="18"/>
      <c r="K191" s="43"/>
      <c r="L191" s="9"/>
    </row>
    <row r="192" spans="1:12" ht="13" thickBot="1">
      <c r="A192" s="13"/>
      <c r="B192" s="22"/>
      <c r="C192" s="23"/>
      <c r="D192" s="23"/>
      <c r="E192" s="27"/>
      <c r="F192" s="30"/>
      <c r="G192" s="10"/>
      <c r="H192" s="24"/>
      <c r="I192" s="45"/>
      <c r="J192" s="25"/>
      <c r="K192" s="45"/>
      <c r="L192" s="11"/>
    </row>
    <row r="193" spans="1:12" s="1" customFormat="1">
      <c r="A193" s="15">
        <f>A191+7</f>
        <v>43443</v>
      </c>
      <c r="B193" s="20">
        <f>C191+F191-G191</f>
        <v>10613.793128400319</v>
      </c>
      <c r="C193" s="17">
        <f>B193+(B193*0.03)</f>
        <v>10932.206922252328</v>
      </c>
      <c r="D193" s="17">
        <f>B193/3250</f>
        <v>3.2657825010462518</v>
      </c>
      <c r="E193" s="28">
        <f>(C193-B193)/D193</f>
        <v>97.499999999999801</v>
      </c>
      <c r="F193" s="26"/>
      <c r="G193" s="18"/>
      <c r="H193" s="19">
        <f>D193*50/B193</f>
        <v>1.5384615384615384E-2</v>
      </c>
      <c r="I193" s="43"/>
      <c r="J193" s="18"/>
      <c r="K193" s="43"/>
      <c r="L193" s="9"/>
    </row>
    <row r="194" spans="1:12" s="1" customFormat="1">
      <c r="A194" s="15">
        <f>A193+7</f>
        <v>43450</v>
      </c>
      <c r="B194" s="20">
        <f>C193+F193-G193</f>
        <v>10932.206922252328</v>
      </c>
      <c r="C194" s="17">
        <f>B194+(B194*0.03)</f>
        <v>11260.173129919898</v>
      </c>
      <c r="D194" s="17">
        <f>B194/3250</f>
        <v>3.3637559760776394</v>
      </c>
      <c r="E194" s="28">
        <f>(C194-B194)/D194</f>
        <v>97.500000000000171</v>
      </c>
      <c r="F194" s="18"/>
      <c r="G194" s="18"/>
      <c r="H194" s="19">
        <f>D194*50/B194</f>
        <v>1.5384615384615385E-2</v>
      </c>
      <c r="I194" s="43"/>
      <c r="J194" s="18"/>
      <c r="K194" s="43"/>
      <c r="L194" s="9"/>
    </row>
    <row r="195" spans="1:12" s="1" customFormat="1">
      <c r="A195" s="15">
        <f>A194+7</f>
        <v>43457</v>
      </c>
      <c r="B195" s="20">
        <f>C194+F194-G194</f>
        <v>11260.173129919898</v>
      </c>
      <c r="C195" s="17">
        <f>B195+(B195*0.03)</f>
        <v>11597.978323817495</v>
      </c>
      <c r="D195" s="17">
        <f>B195/3250</f>
        <v>3.4646686553599686</v>
      </c>
      <c r="E195" s="28">
        <f>(C195-B195)/D195</f>
        <v>97.499999999999972</v>
      </c>
      <c r="F195" s="18"/>
      <c r="G195" s="18"/>
      <c r="H195" s="19">
        <f>D195*50/B195</f>
        <v>1.5384615384615385E-2</v>
      </c>
      <c r="I195" s="43"/>
      <c r="J195" s="18"/>
      <c r="K195" s="43"/>
      <c r="L195" s="9"/>
    </row>
    <row r="196" spans="1:12" s="1" customFormat="1" ht="13" thickBot="1">
      <c r="A196" s="15">
        <f>A195+7</f>
        <v>43464</v>
      </c>
      <c r="B196" s="20">
        <f>C195+F195-G195</f>
        <v>11597.978323817495</v>
      </c>
      <c r="C196" s="17">
        <f>B196+(B196*0.03)</f>
        <v>11945.91767353202</v>
      </c>
      <c r="D196" s="17">
        <f>B196/3250</f>
        <v>3.5686087150207677</v>
      </c>
      <c r="E196" s="28">
        <f>(C196-B196)/D196</f>
        <v>97.499999999999957</v>
      </c>
      <c r="F196" s="18"/>
      <c r="G196" s="18"/>
      <c r="H196" s="19">
        <f>D196*50/B196</f>
        <v>1.5384615384615384E-2</v>
      </c>
      <c r="I196" s="43"/>
      <c r="J196" s="18"/>
      <c r="K196" s="43"/>
      <c r="L196" s="9"/>
    </row>
    <row r="197" spans="1:12" ht="13" thickBot="1">
      <c r="A197" s="13"/>
      <c r="B197" s="22"/>
      <c r="C197" s="23"/>
      <c r="D197" s="23"/>
      <c r="E197" s="27"/>
      <c r="F197" s="30"/>
      <c r="G197" s="10"/>
      <c r="H197" s="24"/>
      <c r="I197" s="45"/>
      <c r="J197" s="25"/>
      <c r="K197" s="45"/>
      <c r="L197" s="11"/>
    </row>
    <row r="198" spans="1:12" s="1" customFormat="1">
      <c r="A198" s="15">
        <f>A196+7</f>
        <v>43471</v>
      </c>
      <c r="B198" s="20">
        <f>C196+F196-G196</f>
        <v>11945.91767353202</v>
      </c>
      <c r="C198" s="17">
        <f>B198+(B198*0.03)</f>
        <v>12304.29520373798</v>
      </c>
      <c r="D198" s="17">
        <f>B198/3250</f>
        <v>3.6756669764713905</v>
      </c>
      <c r="E198" s="28">
        <f>(C198-B198)/D198</f>
        <v>97.499999999999915</v>
      </c>
      <c r="F198" s="26"/>
      <c r="G198" s="18"/>
      <c r="H198" s="19">
        <f>D198*50/B198</f>
        <v>1.5384615384615384E-2</v>
      </c>
      <c r="I198" s="43"/>
      <c r="J198" s="18"/>
      <c r="K198" s="43"/>
      <c r="L198" s="9"/>
    </row>
    <row r="199" spans="1:12">
      <c r="A199" s="15">
        <f>A198+7</f>
        <v>43478</v>
      </c>
      <c r="B199" s="20">
        <f>C198+F198-G198</f>
        <v>12304.29520373798</v>
      </c>
      <c r="C199" s="17">
        <f>B199+(B199*0.03)</f>
        <v>12673.42405985012</v>
      </c>
      <c r="D199" s="17">
        <f>B199/3250</f>
        <v>3.7859369857655323</v>
      </c>
      <c r="E199" s="28">
        <f>(C199-B199)/D199</f>
        <v>97.500000000000171</v>
      </c>
      <c r="F199" s="18"/>
      <c r="G199" s="18"/>
      <c r="H199" s="19">
        <f>D199*50/B199</f>
        <v>1.5384615384615384E-2</v>
      </c>
      <c r="I199" s="43"/>
      <c r="J199" s="18"/>
      <c r="K199" s="43"/>
      <c r="L199" s="9"/>
    </row>
    <row r="200" spans="1:12">
      <c r="A200" s="15">
        <f>A199+7</f>
        <v>43485</v>
      </c>
      <c r="B200" s="20">
        <f>C199+F199-G199</f>
        <v>12673.42405985012</v>
      </c>
      <c r="C200" s="17">
        <f>B200+(B200*0.03)</f>
        <v>13053.626781645624</v>
      </c>
      <c r="D200" s="17">
        <f>B200/3250</f>
        <v>3.8995150953384985</v>
      </c>
      <c r="E200" s="28">
        <f>(C200-B200)/D200</f>
        <v>97.500000000000043</v>
      </c>
      <c r="F200" s="18"/>
      <c r="G200" s="18"/>
      <c r="H200" s="19">
        <f>D200*50/B200</f>
        <v>1.5384615384615384E-2</v>
      </c>
      <c r="I200" s="43"/>
      <c r="J200" s="18"/>
      <c r="K200" s="43"/>
      <c r="L200" s="9"/>
    </row>
    <row r="201" spans="1:12" ht="13" thickBot="1">
      <c r="A201" s="15">
        <f>A200+7</f>
        <v>43492</v>
      </c>
      <c r="B201" s="20">
        <f>C200+F200-G200</f>
        <v>13053.626781645624</v>
      </c>
      <c r="C201" s="17">
        <f>B201+(B201*0.03)</f>
        <v>13445.235585094993</v>
      </c>
      <c r="D201" s="17">
        <f>B201/3250</f>
        <v>4.0165005481986533</v>
      </c>
      <c r="E201" s="28">
        <f>(C201-B201)/D201</f>
        <v>97.500000000000227</v>
      </c>
      <c r="F201" s="18"/>
      <c r="G201" s="18"/>
      <c r="H201" s="19">
        <f>D201*50/B201</f>
        <v>1.5384615384615384E-2</v>
      </c>
      <c r="I201" s="43"/>
      <c r="J201" s="18"/>
      <c r="K201" s="43"/>
      <c r="L201" s="9"/>
    </row>
    <row r="202" spans="1:12" ht="13" thickBot="1">
      <c r="A202" s="13"/>
      <c r="B202" s="22"/>
      <c r="C202" s="23"/>
      <c r="D202" s="23"/>
      <c r="E202" s="27"/>
      <c r="F202" s="30"/>
      <c r="G202" s="10"/>
      <c r="H202" s="24"/>
      <c r="I202" s="45"/>
      <c r="J202" s="25"/>
      <c r="K202" s="45"/>
      <c r="L202" s="11"/>
    </row>
    <row r="203" spans="1:12">
      <c r="A203" s="15">
        <f>A201+7</f>
        <v>43499</v>
      </c>
      <c r="B203" s="20">
        <f>C201+F201-G201</f>
        <v>13445.235585094993</v>
      </c>
      <c r="C203" s="17">
        <f>B203+(B203*0.03)</f>
        <v>13848.592652647843</v>
      </c>
      <c r="D203" s="17">
        <f>B203/3250</f>
        <v>4.1369955646446135</v>
      </c>
      <c r="E203" s="28">
        <f>(C203-B203)/D203</f>
        <v>97.500000000000028</v>
      </c>
      <c r="F203" s="26"/>
      <c r="G203" s="63"/>
      <c r="H203" s="19">
        <f>D203*50/B203</f>
        <v>1.5384615384615385E-2</v>
      </c>
      <c r="I203" s="43"/>
      <c r="J203" s="18"/>
      <c r="K203" s="43"/>
      <c r="L203" s="9"/>
    </row>
    <row r="204" spans="1:12">
      <c r="A204" s="15">
        <f>A203+7</f>
        <v>43506</v>
      </c>
      <c r="B204" s="20">
        <f>C203+F203-G203</f>
        <v>13848.592652647843</v>
      </c>
      <c r="C204" s="17">
        <f>B204+(B204*0.03)</f>
        <v>14264.050432227279</v>
      </c>
      <c r="D204" s="17">
        <f>B204/3250</f>
        <v>4.2611054315839514</v>
      </c>
      <c r="E204" s="28">
        <f>(C204-B204)/D204</f>
        <v>97.500000000000114</v>
      </c>
      <c r="F204" s="26"/>
      <c r="G204" s="63"/>
      <c r="H204" s="19">
        <f>D204*50/B204</f>
        <v>1.5384615384615384E-2</v>
      </c>
      <c r="I204" s="43"/>
      <c r="J204" s="18"/>
      <c r="K204" s="43"/>
      <c r="L204" s="9"/>
    </row>
    <row r="205" spans="1:12">
      <c r="A205" s="15">
        <f>A204+7</f>
        <v>43513</v>
      </c>
      <c r="B205" s="20">
        <f>C204+F204-G204</f>
        <v>14264.050432227279</v>
      </c>
      <c r="C205" s="17">
        <f>B205+(B205*0.03)</f>
        <v>14691.971945194098</v>
      </c>
      <c r="D205" s="17">
        <f>B205/3250</f>
        <v>4.3889385945314707</v>
      </c>
      <c r="E205" s="28">
        <f>(C205-B205)/D205</f>
        <v>97.500000000000171</v>
      </c>
      <c r="F205" s="26"/>
      <c r="G205" s="63"/>
      <c r="H205" s="19">
        <f>D205*50/B205</f>
        <v>1.5384615384615385E-2</v>
      </c>
      <c r="I205" s="43"/>
      <c r="J205" s="18"/>
      <c r="K205" s="43"/>
      <c r="L205" s="9"/>
    </row>
    <row r="206" spans="1:12" ht="13" thickBot="1">
      <c r="A206" s="15">
        <f>A205+7</f>
        <v>43520</v>
      </c>
      <c r="B206" s="20">
        <f>C205+F205-G205</f>
        <v>14691.971945194098</v>
      </c>
      <c r="C206" s="17">
        <f>B206+(B206*0.03)</f>
        <v>15132.731103549921</v>
      </c>
      <c r="D206" s="17">
        <f>B206/3250</f>
        <v>4.5206067523674145</v>
      </c>
      <c r="E206" s="28">
        <f>(C206-B206)/D206</f>
        <v>97.499999999999872</v>
      </c>
      <c r="F206" s="18"/>
      <c r="G206" s="18"/>
      <c r="H206" s="19">
        <f>D206*50/B206</f>
        <v>1.5384615384615384E-2</v>
      </c>
      <c r="I206" s="43"/>
      <c r="J206" s="18"/>
      <c r="K206" s="43"/>
      <c r="L206" s="9"/>
    </row>
    <row r="207" spans="1:12" ht="13" thickBot="1">
      <c r="A207" s="13"/>
      <c r="B207" s="22"/>
      <c r="C207" s="23"/>
      <c r="D207" s="23"/>
      <c r="E207" s="27"/>
      <c r="F207" s="30"/>
      <c r="G207" s="10"/>
      <c r="H207" s="24"/>
      <c r="I207" s="45"/>
      <c r="J207" s="25"/>
      <c r="K207" s="45"/>
      <c r="L207" s="11"/>
    </row>
    <row r="208" spans="1:12">
      <c r="A208" s="15">
        <f>A206+7</f>
        <v>43527</v>
      </c>
      <c r="B208" s="20">
        <f>C206+F206-G206</f>
        <v>15132.731103549921</v>
      </c>
      <c r="C208" s="17">
        <f>B208+(B208*0.03)</f>
        <v>15586.713036656418</v>
      </c>
      <c r="D208" s="17">
        <f>B208/3250</f>
        <v>4.6562249549384367</v>
      </c>
      <c r="E208" s="28">
        <f>(C208-B208)/D208</f>
        <v>97.499999999999943</v>
      </c>
      <c r="F208" s="26"/>
      <c r="G208" s="18"/>
      <c r="H208" s="19">
        <f>D208*50/B208</f>
        <v>1.5384615384615382E-2</v>
      </c>
      <c r="I208" s="43"/>
      <c r="J208" s="18"/>
      <c r="K208" s="43"/>
      <c r="L208" s="9"/>
    </row>
    <row r="209" spans="1:12">
      <c r="A209" s="15">
        <f>A208+7</f>
        <v>43534</v>
      </c>
      <c r="B209" s="20">
        <f>C208+F208-G208</f>
        <v>15586.713036656418</v>
      </c>
      <c r="C209" s="17">
        <f>B209+(B209*0.03)</f>
        <v>16054.31442775611</v>
      </c>
      <c r="D209" s="17">
        <f>B209/3250</f>
        <v>4.7959117035865901</v>
      </c>
      <c r="E209" s="28">
        <f>(C209-B209)/D209</f>
        <v>97.499999999999815</v>
      </c>
      <c r="F209" s="18"/>
      <c r="G209" s="18"/>
      <c r="H209" s="19">
        <f>D209*50/B209</f>
        <v>1.5384615384615385E-2</v>
      </c>
      <c r="I209" s="43"/>
      <c r="J209" s="18"/>
      <c r="K209" s="43"/>
      <c r="L209" s="9"/>
    </row>
    <row r="210" spans="1:12">
      <c r="A210" s="15">
        <f>A209+7</f>
        <v>43541</v>
      </c>
      <c r="B210" s="20">
        <f>C209+F209-G209</f>
        <v>16054.31442775611</v>
      </c>
      <c r="C210" s="17">
        <f>B210+(B210*0.03)</f>
        <v>16535.943860588792</v>
      </c>
      <c r="D210" s="17">
        <f>B210/3250</f>
        <v>4.9397890546941872</v>
      </c>
      <c r="E210" s="28">
        <f>(C210-B210)/D210</f>
        <v>97.499999999999773</v>
      </c>
      <c r="F210" s="18"/>
      <c r="G210" s="18"/>
      <c r="H210" s="19">
        <f>D210*50/B210</f>
        <v>1.5384615384615382E-2</v>
      </c>
      <c r="I210" s="43"/>
      <c r="J210" s="18"/>
      <c r="K210" s="43"/>
      <c r="L210" s="9"/>
    </row>
    <row r="211" spans="1:12" ht="13" thickBot="1">
      <c r="A211" s="15">
        <f>A210+7</f>
        <v>43548</v>
      </c>
      <c r="B211" s="20">
        <f>C210+F210-G210</f>
        <v>16535.943860588792</v>
      </c>
      <c r="C211" s="17">
        <f>B211+(B211*0.03)</f>
        <v>17032.022176406455</v>
      </c>
      <c r="D211" s="17">
        <f>B211/3250</f>
        <v>5.0879827263350128</v>
      </c>
      <c r="E211" s="28">
        <f>(C211-B211)/D211</f>
        <v>97.499999999999986</v>
      </c>
      <c r="F211" s="18"/>
      <c r="G211" s="18"/>
      <c r="H211" s="19">
        <f>D211*50/B211</f>
        <v>1.5384615384615384E-2</v>
      </c>
      <c r="I211" s="43"/>
      <c r="J211" s="18"/>
      <c r="K211" s="43"/>
      <c r="L211" s="9"/>
    </row>
    <row r="212" spans="1:12" ht="13" thickBot="1">
      <c r="A212" s="13"/>
      <c r="B212" s="22"/>
      <c r="C212" s="23"/>
      <c r="D212" s="23"/>
      <c r="E212" s="27"/>
      <c r="F212" s="30"/>
      <c r="G212" s="10"/>
      <c r="H212" s="24"/>
      <c r="I212" s="45"/>
      <c r="J212" s="25"/>
      <c r="K212" s="45"/>
      <c r="L212" s="11"/>
    </row>
    <row r="213" spans="1:12">
      <c r="A213" s="15">
        <f>A211+7</f>
        <v>43555</v>
      </c>
      <c r="B213" s="20">
        <f>C211+F211-G211</f>
        <v>17032.022176406455</v>
      </c>
      <c r="C213" s="17">
        <f>B213+(B213*0.03)</f>
        <v>17542.982841698649</v>
      </c>
      <c r="D213" s="17">
        <f>B213/3250</f>
        <v>5.2406222081250631</v>
      </c>
      <c r="E213" s="28">
        <f>(C213-B213)/D213</f>
        <v>97.500000000000043</v>
      </c>
      <c r="F213" s="26"/>
      <c r="G213" s="18"/>
      <c r="H213" s="19">
        <f>D213*50/B213</f>
        <v>1.5384615384615385E-2</v>
      </c>
      <c r="I213" s="43"/>
      <c r="J213" s="18"/>
      <c r="K213" s="43"/>
      <c r="L213" s="9"/>
    </row>
    <row r="214" spans="1:12">
      <c r="A214" s="15">
        <f>A213+7</f>
        <v>43562</v>
      </c>
      <c r="B214" s="20">
        <f>C213+F213-G213</f>
        <v>17542.982841698649</v>
      </c>
      <c r="C214" s="17">
        <f>B214+(B214*0.03)</f>
        <v>18069.272326949609</v>
      </c>
      <c r="D214" s="17">
        <f>B214/3250</f>
        <v>5.3978408743688151</v>
      </c>
      <c r="E214" s="28">
        <f>(C214-B214)/D214</f>
        <v>97.500000000000071</v>
      </c>
      <c r="F214" s="18"/>
      <c r="G214" s="18"/>
      <c r="H214" s="19">
        <f>D214*50/B214</f>
        <v>1.5384615384615384E-2</v>
      </c>
      <c r="I214" s="43"/>
      <c r="J214" s="18"/>
      <c r="K214" s="43"/>
      <c r="L214" s="9"/>
    </row>
    <row r="215" spans="1:12">
      <c r="A215" s="15">
        <f>A214+7</f>
        <v>43569</v>
      </c>
      <c r="B215" s="20">
        <f>C214+F214-G214</f>
        <v>18069.272326949609</v>
      </c>
      <c r="C215" s="17">
        <f>B215+(B215*0.03)</f>
        <v>18611.350496758096</v>
      </c>
      <c r="D215" s="17">
        <f>B215/3250</f>
        <v>5.5597761005998798</v>
      </c>
      <c r="E215" s="28">
        <f>(C215-B215)/D215</f>
        <v>97.499999999999687</v>
      </c>
      <c r="F215" s="18"/>
      <c r="G215" s="18"/>
      <c r="H215" s="19">
        <f>D215*50/B215</f>
        <v>1.5384615384615385E-2</v>
      </c>
      <c r="I215" s="43"/>
      <c r="J215" s="18"/>
      <c r="K215" s="43"/>
      <c r="L215" s="9"/>
    </row>
    <row r="216" spans="1:12" ht="13" thickBot="1">
      <c r="A216" s="15">
        <f>A215+7</f>
        <v>43576</v>
      </c>
      <c r="B216" s="20">
        <f>C215+F215-G215</f>
        <v>18611.350496758096</v>
      </c>
      <c r="C216" s="17">
        <f>B216+(B216*0.03)</f>
        <v>19169.691011660838</v>
      </c>
      <c r="D216" s="17">
        <f>B216/3250</f>
        <v>5.7265693836178757</v>
      </c>
      <c r="E216" s="28">
        <f>(C216-B216)/D216</f>
        <v>97.499999999999872</v>
      </c>
      <c r="F216" s="18"/>
      <c r="G216" s="18"/>
      <c r="H216" s="19">
        <f>D216*50/B216</f>
        <v>1.5384615384615384E-2</v>
      </c>
      <c r="I216" s="43"/>
      <c r="J216" s="18"/>
      <c r="K216" s="43"/>
      <c r="L216" s="9"/>
    </row>
    <row r="217" spans="1:12" ht="13" thickBot="1">
      <c r="A217" s="13"/>
      <c r="B217" s="22"/>
      <c r="C217" s="23"/>
      <c r="D217" s="23"/>
      <c r="E217" s="27"/>
      <c r="F217" s="30"/>
      <c r="G217" s="10"/>
      <c r="H217" s="24"/>
      <c r="I217" s="45"/>
      <c r="J217" s="25"/>
      <c r="K217" s="45"/>
      <c r="L217" s="11"/>
    </row>
    <row r="218" spans="1:12">
      <c r="A218" s="15">
        <f>A216+7</f>
        <v>43583</v>
      </c>
      <c r="B218" s="20">
        <f>C216+F216-G216</f>
        <v>19169.691011660838</v>
      </c>
      <c r="C218" s="17">
        <f>B218+(B218*0.03)</f>
        <v>19744.781742010662</v>
      </c>
      <c r="D218" s="17">
        <f>B218/3250</f>
        <v>5.8983664651264114</v>
      </c>
      <c r="E218" s="28">
        <f>(C218-B218)/D218</f>
        <v>97.499999999999858</v>
      </c>
      <c r="F218" s="26"/>
      <c r="G218" s="18"/>
      <c r="H218" s="19">
        <f>D218*50/B218</f>
        <v>1.5384615384615382E-2</v>
      </c>
      <c r="I218" s="43"/>
      <c r="J218" s="18"/>
      <c r="K218" s="43"/>
      <c r="L218" s="9"/>
    </row>
    <row r="219" spans="1:12">
      <c r="A219" s="15">
        <f>A218+7</f>
        <v>43590</v>
      </c>
      <c r="B219" s="20">
        <f>C218+F218-G218</f>
        <v>19744.781742010662</v>
      </c>
      <c r="C219" s="17">
        <f>B219+(B219*0.03)</f>
        <v>20337.125194270982</v>
      </c>
      <c r="D219" s="17">
        <f>B219/3250</f>
        <v>6.0753174590802042</v>
      </c>
      <c r="E219" s="28">
        <f>(C219-B219)/D219</f>
        <v>97.500000000000043</v>
      </c>
      <c r="F219" s="18"/>
      <c r="G219" s="18"/>
      <c r="H219" s="19">
        <f>D219*50/B219</f>
        <v>1.5384615384615385E-2</v>
      </c>
      <c r="I219" s="43"/>
      <c r="J219" s="18"/>
      <c r="K219" s="43"/>
      <c r="L219" s="9"/>
    </row>
    <row r="220" spans="1:12">
      <c r="A220" s="15">
        <f>A219+7</f>
        <v>43597</v>
      </c>
      <c r="B220" s="20">
        <f>C219+F219-G219</f>
        <v>20337.125194270982</v>
      </c>
      <c r="C220" s="17">
        <f>B220+(B220*0.03)</f>
        <v>20947.238950099112</v>
      </c>
      <c r="D220" s="17">
        <f>B220/3250</f>
        <v>6.2575769828526102</v>
      </c>
      <c r="E220" s="28">
        <f>(C220-B220)/D220</f>
        <v>97.500000000000043</v>
      </c>
      <c r="F220" s="18"/>
      <c r="G220" s="18"/>
      <c r="H220" s="19">
        <f>D220*50/B220</f>
        <v>1.5384615384615384E-2</v>
      </c>
      <c r="I220" s="43"/>
      <c r="J220" s="18"/>
      <c r="K220" s="43"/>
      <c r="L220" s="9"/>
    </row>
    <row r="221" spans="1:12" ht="13" thickBot="1">
      <c r="A221" s="15">
        <f>A220+7</f>
        <v>43604</v>
      </c>
      <c r="B221" s="20">
        <f>C220+F220-G220</f>
        <v>20947.238950099112</v>
      </c>
      <c r="C221" s="17">
        <f>B221+(B221*0.03)</f>
        <v>21575.656118602084</v>
      </c>
      <c r="D221" s="17">
        <f>B221/3250</f>
        <v>6.4453042923381885</v>
      </c>
      <c r="E221" s="28">
        <f>(C221-B221)/D221</f>
        <v>97.499999999999844</v>
      </c>
      <c r="F221" s="18"/>
      <c r="G221" s="18"/>
      <c r="H221" s="19">
        <f>D221*50/B221</f>
        <v>1.5384615384615385E-2</v>
      </c>
      <c r="I221" s="43"/>
      <c r="J221" s="18"/>
      <c r="K221" s="43"/>
      <c r="L221" s="9"/>
    </row>
    <row r="222" spans="1:12" ht="13" thickBot="1">
      <c r="A222" s="13"/>
      <c r="B222" s="22"/>
      <c r="C222" s="23"/>
      <c r="D222" s="23"/>
      <c r="E222" s="27"/>
      <c r="F222" s="30"/>
      <c r="G222" s="10"/>
      <c r="H222" s="24"/>
      <c r="I222" s="45"/>
      <c r="J222" s="25"/>
      <c r="K222" s="45"/>
      <c r="L222" s="11"/>
    </row>
    <row r="223" spans="1:12">
      <c r="A223" s="15">
        <f>A221+7</f>
        <v>43611</v>
      </c>
      <c r="B223" s="20">
        <f>C221+F221-G221</f>
        <v>21575.656118602084</v>
      </c>
      <c r="C223" s="17">
        <f>B223+(B223*0.03)</f>
        <v>22222.925802160145</v>
      </c>
      <c r="D223" s="17">
        <f>B223/3250</f>
        <v>6.6386634211083333</v>
      </c>
      <c r="E223" s="28">
        <f>(C223-B223)/D223</f>
        <v>97.499999999999758</v>
      </c>
      <c r="F223" s="26"/>
      <c r="G223" s="63"/>
      <c r="H223" s="19">
        <f>D223*50/B223</f>
        <v>1.5384615384615384E-2</v>
      </c>
      <c r="I223" s="43"/>
      <c r="J223" s="18"/>
      <c r="K223" s="43"/>
      <c r="L223" s="9"/>
    </row>
    <row r="224" spans="1:12">
      <c r="A224" s="15">
        <f>A223+7</f>
        <v>43618</v>
      </c>
      <c r="B224" s="20">
        <f>C223+F223-G223</f>
        <v>22222.925802160145</v>
      </c>
      <c r="C224" s="17">
        <f>B224+(B224*0.03)</f>
        <v>22889.613576224951</v>
      </c>
      <c r="D224" s="17">
        <f>B224/3250</f>
        <v>6.8378233237415831</v>
      </c>
      <c r="E224" s="28">
        <f>(C224-B224)/D224</f>
        <v>97.500000000000114</v>
      </c>
      <c r="F224" s="26"/>
      <c r="G224" s="63"/>
      <c r="H224" s="19">
        <f>D224*50/B224</f>
        <v>1.5384615384615384E-2</v>
      </c>
      <c r="I224" s="43"/>
      <c r="J224" s="18"/>
      <c r="K224" s="43"/>
      <c r="L224" s="9"/>
    </row>
    <row r="225" spans="1:12">
      <c r="A225" s="15">
        <f>A224+7</f>
        <v>43625</v>
      </c>
      <c r="B225" s="20">
        <f>C224+F224-G224</f>
        <v>22889.613576224951</v>
      </c>
      <c r="C225" s="17">
        <f>B225+(B225*0.03)</f>
        <v>23576.301983511697</v>
      </c>
      <c r="D225" s="17">
        <f>B225/3250</f>
        <v>7.0429580234538314</v>
      </c>
      <c r="E225" s="28">
        <f>(C225-B225)/D225</f>
        <v>97.499999999999773</v>
      </c>
      <c r="F225" s="26"/>
      <c r="G225" s="63"/>
      <c r="H225" s="19">
        <f>D225*50/B225</f>
        <v>1.5384615384615385E-2</v>
      </c>
      <c r="I225" s="43"/>
      <c r="J225" s="18"/>
      <c r="K225" s="43"/>
      <c r="L225" s="9"/>
    </row>
    <row r="226" spans="1:12">
      <c r="A226" s="15">
        <f>A225+7</f>
        <v>43632</v>
      </c>
      <c r="B226" s="20">
        <f>C225+F225-G225</f>
        <v>23576.301983511697</v>
      </c>
      <c r="C226" s="17">
        <f>B226+(B226*0.03)</f>
        <v>24283.591043017048</v>
      </c>
      <c r="D226" s="17">
        <f>B226/3250</f>
        <v>7.2542467641574451</v>
      </c>
      <c r="E226" s="28">
        <f>(C226-B226)/D226</f>
        <v>97.499999999999943</v>
      </c>
      <c r="F226" s="26"/>
      <c r="G226" s="63"/>
      <c r="H226" s="19">
        <f>D226*50/B226</f>
        <v>1.5384615384615385E-2</v>
      </c>
      <c r="I226" s="43"/>
      <c r="J226" s="18"/>
      <c r="K226" s="43"/>
      <c r="L226" s="9"/>
    </row>
    <row r="227" spans="1:12" ht="14.25" customHeight="1" thickBot="1">
      <c r="A227" s="15">
        <f>A226+7</f>
        <v>43639</v>
      </c>
      <c r="B227" s="20">
        <f>C226+F226-G226</f>
        <v>24283.591043017048</v>
      </c>
      <c r="C227" s="17">
        <f>B227+(B227*0.03)</f>
        <v>25012.09877430756</v>
      </c>
      <c r="D227" s="17">
        <f>B227/3250</f>
        <v>7.4718741670821682</v>
      </c>
      <c r="E227" s="28">
        <f>(C227-B227)/D227</f>
        <v>97.500000000000128</v>
      </c>
      <c r="F227" s="18"/>
      <c r="G227" s="18"/>
      <c r="H227" s="19">
        <f>D227*50/B227</f>
        <v>1.5384615384615384E-2</v>
      </c>
      <c r="I227" s="43"/>
      <c r="J227" s="18"/>
      <c r="K227" s="43"/>
      <c r="L227" s="9"/>
    </row>
    <row r="228" spans="1:12" ht="13" thickBot="1">
      <c r="A228" s="13"/>
      <c r="B228" s="22"/>
      <c r="C228" s="23"/>
      <c r="D228" s="23"/>
      <c r="E228" s="27"/>
      <c r="F228" s="30"/>
      <c r="G228" s="10"/>
      <c r="H228" s="24"/>
      <c r="I228" s="45"/>
      <c r="J228" s="25"/>
      <c r="K228" s="45"/>
      <c r="L228" s="11"/>
    </row>
    <row r="229" spans="1:12">
      <c r="D229" s="75"/>
      <c r="F229" s="1"/>
      <c r="G229" s="1"/>
    </row>
    <row r="230" spans="1:12">
      <c r="D230" s="75"/>
      <c r="F230" s="1"/>
      <c r="G230" s="1"/>
    </row>
    <row r="231" spans="1:12">
      <c r="D231" s="75"/>
      <c r="F231" s="1"/>
      <c r="G231" s="1"/>
    </row>
    <row r="232" spans="1:12">
      <c r="D232" s="75"/>
      <c r="F232" s="1"/>
      <c r="G232" s="1"/>
    </row>
    <row r="233" spans="1:12">
      <c r="D233" s="75"/>
      <c r="F233" s="1"/>
      <c r="G233" s="1"/>
    </row>
    <row r="234" spans="1:12">
      <c r="D234" s="75"/>
      <c r="F234" s="1"/>
      <c r="G234" s="1"/>
    </row>
  </sheetData>
  <mergeCells count="2">
    <mergeCell ref="A1:L1"/>
    <mergeCell ref="A83:L83"/>
  </mergeCells>
  <pageMargins left="0.7" right="0.7" top="0.75" bottom="0.75" header="0.3" footer="0.3"/>
  <pageSetup paperSize="9" orientation="portrait" r:id="rId1"/>
  <ignoredErrors>
    <ignoredError sqref="C76 C81" formula="1"/>
  </ignoredErrors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J139"/>
  <sheetViews>
    <sheetView topLeftCell="A32" workbookViewId="0">
      <selection activeCell="B47" sqref="B47"/>
    </sheetView>
  </sheetViews>
  <sheetFormatPr defaultColWidth="9.1796875" defaultRowHeight="12.5"/>
  <cols>
    <col min="2" max="2" width="9.54296875" customWidth="1"/>
    <col min="3" max="3" width="10.54296875" bestFit="1" customWidth="1"/>
    <col min="4" max="4" width="6.54296875" bestFit="1" customWidth="1"/>
    <col min="5" max="5" width="6" bestFit="1" customWidth="1"/>
    <col min="6" max="6" width="8.7265625" bestFit="1" customWidth="1"/>
    <col min="7" max="7" width="12" bestFit="1" customWidth="1"/>
    <col min="8" max="8" width="9" bestFit="1" customWidth="1"/>
    <col min="9" max="9" width="4.08984375" customWidth="1"/>
    <col min="10" max="10" width="3.54296875" customWidth="1"/>
  </cols>
  <sheetData>
    <row r="1" spans="1:10" ht="16" thickBot="1">
      <c r="A1" s="114"/>
      <c r="B1" s="115"/>
      <c r="C1" s="115"/>
      <c r="D1" s="115"/>
      <c r="E1" s="115"/>
      <c r="F1" s="115"/>
      <c r="G1" s="115"/>
      <c r="H1" s="115"/>
    </row>
    <row r="2" spans="1:10" ht="18.75" customHeight="1" thickBot="1">
      <c r="A2" s="3" t="s">
        <v>3</v>
      </c>
      <c r="B2" s="4" t="s">
        <v>4</v>
      </c>
      <c r="C2" s="5" t="s">
        <v>5</v>
      </c>
      <c r="D2" s="5" t="s">
        <v>12</v>
      </c>
      <c r="E2" s="5" t="s">
        <v>13</v>
      </c>
      <c r="F2" s="5" t="s">
        <v>6</v>
      </c>
      <c r="G2" s="5" t="s">
        <v>6</v>
      </c>
      <c r="H2" s="14" t="s">
        <v>14</v>
      </c>
    </row>
    <row r="3" spans="1:10" ht="13" thickBot="1">
      <c r="A3" s="3" t="s">
        <v>8</v>
      </c>
      <c r="B3" s="7" t="s">
        <v>44</v>
      </c>
      <c r="C3" s="7" t="s">
        <v>44</v>
      </c>
      <c r="D3" s="8" t="s">
        <v>15</v>
      </c>
      <c r="E3" s="8" t="s">
        <v>16</v>
      </c>
      <c r="F3" s="8" t="s">
        <v>9</v>
      </c>
      <c r="G3" s="8" t="s">
        <v>10</v>
      </c>
      <c r="H3" s="14" t="s">
        <v>17</v>
      </c>
    </row>
    <row r="4" spans="1:10">
      <c r="A4" s="15">
        <v>42883</v>
      </c>
      <c r="B4" s="20">
        <v>5300.8</v>
      </c>
      <c r="C4" s="17">
        <f>B4+(B4*0.035)</f>
        <v>5486.3280000000004</v>
      </c>
      <c r="D4" s="17">
        <f>B4/3250</f>
        <v>1.6310153846153848</v>
      </c>
      <c r="E4" s="34">
        <f>(C4-B4)/D4</f>
        <v>113.75000000000014</v>
      </c>
      <c r="F4" s="26"/>
      <c r="G4" s="18"/>
      <c r="H4" s="19">
        <f>D4*50/B4</f>
        <v>1.5384615384615385E-2</v>
      </c>
    </row>
    <row r="5" spans="1:10">
      <c r="A5" s="15">
        <f>A4+7</f>
        <v>42890</v>
      </c>
      <c r="B5" s="20">
        <f>C4</f>
        <v>5486.3280000000004</v>
      </c>
      <c r="C5" s="21">
        <f>B5+(B5*0.1312)</f>
        <v>6206.1342336000007</v>
      </c>
      <c r="D5" s="17">
        <f>B5/3250</f>
        <v>1.6881009230769233</v>
      </c>
      <c r="E5" s="101">
        <f>(C5-B5)/D5</f>
        <v>426.40000000000009</v>
      </c>
      <c r="F5" s="18"/>
      <c r="G5" s="18"/>
      <c r="H5" s="19">
        <f>D5*50/B5</f>
        <v>1.5384615384615384E-2</v>
      </c>
    </row>
    <row r="6" spans="1:10">
      <c r="A6" s="15">
        <f>A5+7</f>
        <v>42897</v>
      </c>
      <c r="B6" s="20">
        <f>C5+F5-G5</f>
        <v>6206.1342336000007</v>
      </c>
      <c r="C6" s="17">
        <f>B6+(B6*0.014)</f>
        <v>6293.0201128704011</v>
      </c>
      <c r="D6" s="17">
        <f>B6/3250</f>
        <v>1.9095797641846155</v>
      </c>
      <c r="E6" s="34">
        <f>(C6-B6)/D6</f>
        <v>45.500000000000227</v>
      </c>
      <c r="F6" s="18">
        <v>200</v>
      </c>
      <c r="G6" s="18"/>
      <c r="H6" s="19">
        <f>D6*50/B6</f>
        <v>1.5384615384615384E-2</v>
      </c>
    </row>
    <row r="7" spans="1:10" ht="13" thickBot="1">
      <c r="A7" s="15">
        <f>A6+7</f>
        <v>42904</v>
      </c>
      <c r="B7" s="20">
        <f>C6+F6-G6</f>
        <v>6493.0201128704011</v>
      </c>
      <c r="C7" s="17">
        <f>B7+(B7*0)</f>
        <v>6493.0201128704011</v>
      </c>
      <c r="D7" s="17">
        <f>B7/3250</f>
        <v>1.9978523424216619</v>
      </c>
      <c r="E7" s="34">
        <f>(C7-B7)/D7</f>
        <v>0</v>
      </c>
      <c r="F7" s="26"/>
      <c r="G7" s="18"/>
      <c r="H7" s="19">
        <f>D7*50/B7</f>
        <v>1.5384615384615384E-2</v>
      </c>
    </row>
    <row r="8" spans="1:10" ht="13" thickBot="1">
      <c r="A8" s="13"/>
      <c r="B8" s="22"/>
      <c r="C8" s="23"/>
      <c r="D8" s="23"/>
      <c r="E8" s="27"/>
      <c r="F8" s="30"/>
      <c r="G8" s="10"/>
      <c r="H8" s="24"/>
    </row>
    <row r="9" spans="1:10">
      <c r="A9" s="15">
        <f>A7+7</f>
        <v>42911</v>
      </c>
      <c r="B9" s="20">
        <f>C7+F7-G7</f>
        <v>6493.0201128704011</v>
      </c>
      <c r="C9" s="17">
        <f>B9+(B9*0.015)</f>
        <v>6590.4154145634575</v>
      </c>
      <c r="D9" s="17">
        <f>B9/3250</f>
        <v>1.9978523424216619</v>
      </c>
      <c r="E9" s="34">
        <f>(C9-B9)/D9</f>
        <v>48.750000000000171</v>
      </c>
      <c r="F9" s="26"/>
      <c r="G9" s="18"/>
      <c r="H9" s="19">
        <f>D9*50/B9</f>
        <v>1.5384615384615384E-2</v>
      </c>
    </row>
    <row r="10" spans="1:10" s="1" customFormat="1">
      <c r="A10" s="15">
        <f>A9+7</f>
        <v>42918</v>
      </c>
      <c r="B10" s="20">
        <f>C9+F9-G9</f>
        <v>6590.4154145634575</v>
      </c>
      <c r="C10" s="17">
        <f>B10+(B10*0.054)</f>
        <v>6946.2978469498839</v>
      </c>
      <c r="D10" s="17">
        <f>B10/3250</f>
        <v>2.027820127557987</v>
      </c>
      <c r="E10" s="34">
        <f>(C10-B10)/D10</f>
        <v>175.49999999999986</v>
      </c>
      <c r="F10" s="18"/>
      <c r="G10" s="18"/>
      <c r="H10" s="19">
        <f>D10*50/B10</f>
        <v>1.5384615384615384E-2</v>
      </c>
    </row>
    <row r="11" spans="1:10" s="1" customFormat="1">
      <c r="A11" s="15">
        <f>A10+7</f>
        <v>42925</v>
      </c>
      <c r="B11" s="20">
        <f>C10+F10-G10</f>
        <v>6946.2978469498839</v>
      </c>
      <c r="C11" s="17">
        <f>B11+(B11*0.0483)</f>
        <v>7281.8040329575633</v>
      </c>
      <c r="D11" s="17">
        <f>B11/3250</f>
        <v>2.137322414446118</v>
      </c>
      <c r="E11" s="34">
        <f>(C11-B11)/D11</f>
        <v>156.97499999999999</v>
      </c>
      <c r="F11" s="18"/>
      <c r="G11" s="18"/>
      <c r="H11" s="19">
        <f>D11*50/B11</f>
        <v>1.5384615384615385E-2</v>
      </c>
    </row>
    <row r="12" spans="1:10" s="1" customFormat="1" ht="13" thickBot="1">
      <c r="A12" s="15">
        <f>A11+7</f>
        <v>42932</v>
      </c>
      <c r="B12" s="20">
        <f>C11+F11-G11</f>
        <v>7281.8040329575633</v>
      </c>
      <c r="C12" s="99">
        <f>B12+(B12*-0.074)</f>
        <v>6742.9505345187035</v>
      </c>
      <c r="D12" s="17">
        <f>B12/3250</f>
        <v>2.2405550870638655</v>
      </c>
      <c r="E12" s="95">
        <f>(C12-B12)/D12</f>
        <v>-240.50000000000006</v>
      </c>
      <c r="F12" s="26"/>
      <c r="G12" s="18"/>
      <c r="H12" s="19">
        <f>D12*50/B12</f>
        <v>1.5384615384615384E-2</v>
      </c>
    </row>
    <row r="13" spans="1:10" ht="13" thickBot="1">
      <c r="A13" s="13"/>
      <c r="B13" s="22"/>
      <c r="C13" s="23"/>
      <c r="D13" s="23"/>
      <c r="E13" s="27"/>
      <c r="F13" s="30"/>
      <c r="G13" s="10"/>
      <c r="H13" s="24"/>
      <c r="J13" s="84"/>
    </row>
    <row r="14" spans="1:10" s="1" customFormat="1">
      <c r="A14" s="15">
        <f>A12+7</f>
        <v>42939</v>
      </c>
      <c r="B14" s="20">
        <f>C12+F12-G12</f>
        <v>6742.9505345187035</v>
      </c>
      <c r="C14" s="17">
        <f>B14+(B14*0.0427)</f>
        <v>7030.8745223426522</v>
      </c>
      <c r="D14" s="17">
        <f>B14/3250</f>
        <v>2.0747540106211395</v>
      </c>
      <c r="E14" s="34">
        <f>(C14-B14)/D14</f>
        <v>138.77500000000001</v>
      </c>
      <c r="F14" s="18">
        <v>1492</v>
      </c>
      <c r="G14" s="18"/>
      <c r="H14" s="19">
        <f>D14*50/B14</f>
        <v>1.5384615384615384E-2</v>
      </c>
    </row>
    <row r="15" spans="1:10" s="1" customFormat="1">
      <c r="A15" s="15">
        <f>A14+7</f>
        <v>42946</v>
      </c>
      <c r="B15" s="20">
        <f>C14+F14-G14</f>
        <v>8522.8745223426522</v>
      </c>
      <c r="C15" s="17">
        <f>B15+(B15*-0.0045)</f>
        <v>8484.5215869921103</v>
      </c>
      <c r="D15" s="17">
        <f>B15/3250</f>
        <v>2.6224229299515853</v>
      </c>
      <c r="E15" s="37">
        <f>(C15-B15)/D15</f>
        <v>-14.62499999999998</v>
      </c>
      <c r="F15" s="18"/>
      <c r="G15" s="18"/>
      <c r="H15" s="19">
        <f>D15*50/B15</f>
        <v>1.5384615384615385E-2</v>
      </c>
    </row>
    <row r="16" spans="1:10" s="1" customFormat="1">
      <c r="A16" s="15">
        <f>A15+7</f>
        <v>42953</v>
      </c>
      <c r="B16" s="20">
        <f>C15+F15-G15</f>
        <v>8484.5215869921103</v>
      </c>
      <c r="C16" s="17">
        <f>B16+(B16*-0.0326)</f>
        <v>8207.9261832561679</v>
      </c>
      <c r="D16" s="17">
        <f>B16/3250</f>
        <v>2.6106220267668032</v>
      </c>
      <c r="E16" s="37">
        <f>(C16-B16)/D16</f>
        <v>-105.94999999999986</v>
      </c>
      <c r="F16" s="18">
        <v>1000</v>
      </c>
      <c r="G16" s="18"/>
      <c r="H16" s="19">
        <f>D16*50/B16</f>
        <v>1.5384615384615385E-2</v>
      </c>
    </row>
    <row r="17" spans="1:8" s="1" customFormat="1" ht="13" thickBot="1">
      <c r="A17" s="15">
        <f>A16+7</f>
        <v>42960</v>
      </c>
      <c r="B17" s="20">
        <f>C16+F16-G16</f>
        <v>9207.9261832561679</v>
      </c>
      <c r="C17" s="17">
        <f>B17+(B17*-0.02)</f>
        <v>9023.7676595910452</v>
      </c>
      <c r="D17" s="17">
        <f>B17/3250</f>
        <v>2.8332080563865132</v>
      </c>
      <c r="E17" s="37">
        <f>(C17-B17)/D17</f>
        <v>-64.999999999999744</v>
      </c>
      <c r="F17" s="26"/>
      <c r="G17" s="18"/>
      <c r="H17" s="19">
        <f>D17*50/B17</f>
        <v>1.5384615384615385E-2</v>
      </c>
    </row>
    <row r="18" spans="1:8" ht="13" thickBot="1">
      <c r="A18" s="13"/>
      <c r="B18" s="22"/>
      <c r="C18" s="23"/>
      <c r="D18" s="23"/>
      <c r="E18" s="27"/>
      <c r="F18" s="30"/>
      <c r="G18" s="10"/>
      <c r="H18" s="24"/>
    </row>
    <row r="19" spans="1:8" s="1" customFormat="1">
      <c r="A19" s="15">
        <f>A17+7</f>
        <v>42967</v>
      </c>
      <c r="B19" s="20">
        <f>C17+F17-G17</f>
        <v>9023.7676595910452</v>
      </c>
      <c r="C19" s="17">
        <f>B19+(B19*0.0596)</f>
        <v>9561.5842121026708</v>
      </c>
      <c r="D19" s="17">
        <f>B19/3250</f>
        <v>2.7765438952587833</v>
      </c>
      <c r="E19" s="34">
        <f>(C19-B19)/D19</f>
        <v>193.69999999999973</v>
      </c>
      <c r="F19" s="26"/>
      <c r="G19" s="18"/>
      <c r="H19" s="19">
        <f>D19*50/B19</f>
        <v>1.5384615384615385E-2</v>
      </c>
    </row>
    <row r="20" spans="1:8" s="1" customFormat="1">
      <c r="A20" s="15">
        <f>A19+7</f>
        <v>42974</v>
      </c>
      <c r="B20" s="20">
        <f>C19+F19-G19</f>
        <v>9561.5842121026708</v>
      </c>
      <c r="C20" s="99">
        <f>B20+(B20*-0.0884)</f>
        <v>8716.3401677527945</v>
      </c>
      <c r="D20" s="17">
        <f>B20/3250</f>
        <v>2.9420259114162066</v>
      </c>
      <c r="E20" s="95">
        <f>(C20-B20)/D20</f>
        <v>-287.3</v>
      </c>
      <c r="F20" s="18"/>
      <c r="G20" s="18"/>
      <c r="H20" s="19">
        <f>D20*50/B20</f>
        <v>1.5384615384615385E-2</v>
      </c>
    </row>
    <row r="21" spans="1:8" s="1" customFormat="1">
      <c r="A21" s="15">
        <f>A20+7</f>
        <v>42981</v>
      </c>
      <c r="B21" s="20">
        <f>C20+F20-G20</f>
        <v>8716.3401677527945</v>
      </c>
      <c r="C21" s="99">
        <f>B21+(B21*-0.0583)</f>
        <v>8208.1775359728072</v>
      </c>
      <c r="D21" s="17">
        <f>B21/5500</f>
        <v>1.584789121409599</v>
      </c>
      <c r="E21" s="95">
        <f>(C21-B21)/D21</f>
        <v>-320.64999999999964</v>
      </c>
      <c r="F21" s="18"/>
      <c r="G21" s="18"/>
      <c r="H21" s="19">
        <f>D21*50/B21</f>
        <v>9.0909090909090905E-3</v>
      </c>
    </row>
    <row r="22" spans="1:8" s="1" customFormat="1" ht="13" thickBot="1">
      <c r="A22" s="15">
        <f>A21+7</f>
        <v>42988</v>
      </c>
      <c r="B22" s="20">
        <f>C21+F21-G21</f>
        <v>8208.1775359728072</v>
      </c>
      <c r="C22" s="21">
        <f>B22+(B22*0.1119)</f>
        <v>9126.6726022481635</v>
      </c>
      <c r="D22" s="17">
        <f>B22/5500</f>
        <v>1.4923959156314195</v>
      </c>
      <c r="E22" s="101">
        <f>(C22-B22)/D22</f>
        <v>615.44999999999948</v>
      </c>
      <c r="F22" s="26"/>
      <c r="G22" s="18"/>
      <c r="H22" s="19">
        <f>D22*50/B22</f>
        <v>9.0909090909090905E-3</v>
      </c>
    </row>
    <row r="23" spans="1:8" ht="13" thickBot="1">
      <c r="A23" s="13"/>
      <c r="B23" s="22"/>
      <c r="C23" s="23"/>
      <c r="D23" s="23"/>
      <c r="E23" s="27"/>
      <c r="F23" s="30"/>
      <c r="G23" s="10"/>
      <c r="H23" s="24"/>
    </row>
    <row r="24" spans="1:8" s="1" customFormat="1">
      <c r="A24" s="15">
        <f>A22+7</f>
        <v>42995</v>
      </c>
      <c r="B24" s="20">
        <f>C22+F22-G22</f>
        <v>9126.6726022481635</v>
      </c>
      <c r="C24" s="99">
        <f>B24+(B24*-0.073)</f>
        <v>8460.425502284048</v>
      </c>
      <c r="D24" s="17">
        <f>B24/5500</f>
        <v>1.6593950185905753</v>
      </c>
      <c r="E24" s="95">
        <f>(C24-B24)/D24</f>
        <v>-401.49999999999972</v>
      </c>
      <c r="F24" s="26"/>
      <c r="G24" s="18"/>
      <c r="H24" s="19">
        <f>D24*50/B24</f>
        <v>9.0909090909090905E-3</v>
      </c>
    </row>
    <row r="25" spans="1:8" s="1" customFormat="1">
      <c r="A25" s="15">
        <f>A24+7</f>
        <v>43002</v>
      </c>
      <c r="B25" s="20">
        <f>C24+F24-G24</f>
        <v>8460.425502284048</v>
      </c>
      <c r="C25" s="17">
        <f>B25+(B25*-0.0103)</f>
        <v>8373.2831196105217</v>
      </c>
      <c r="D25" s="17">
        <f>B25/5500</f>
        <v>1.5382591822334633</v>
      </c>
      <c r="E25" s="37">
        <f>(C25-B25)/D25</f>
        <v>-56.650000000000396</v>
      </c>
      <c r="F25" s="18">
        <v>800</v>
      </c>
      <c r="G25" s="18"/>
      <c r="H25" s="19">
        <f>D25*50/B25</f>
        <v>9.0909090909090905E-3</v>
      </c>
    </row>
    <row r="26" spans="1:8" s="1" customFormat="1">
      <c r="A26" s="15">
        <f>A25+7</f>
        <v>43009</v>
      </c>
      <c r="B26" s="20">
        <f>C25+F25-G25</f>
        <v>9173.2831196105217</v>
      </c>
      <c r="C26" s="99">
        <f>B26+(B26*-0.0544)</f>
        <v>8674.2565179037101</v>
      </c>
      <c r="D26" s="17">
        <f>B26/5500</f>
        <v>1.667869658111004</v>
      </c>
      <c r="E26" s="95">
        <f>(C26-B26)/D26</f>
        <v>-299.19999999999953</v>
      </c>
      <c r="F26" s="18">
        <v>1350</v>
      </c>
      <c r="G26" s="18"/>
      <c r="H26" s="19">
        <f>D26*50/B26</f>
        <v>9.0909090909090905E-3</v>
      </c>
    </row>
    <row r="27" spans="1:8" s="1" customFormat="1" ht="13" thickBot="1">
      <c r="A27" s="15">
        <f>A26+7</f>
        <v>43016</v>
      </c>
      <c r="B27" s="20">
        <f>C26+F26-G26</f>
        <v>10024.25651790371</v>
      </c>
      <c r="C27" s="17">
        <f>B27+(B27*-0.0579)</f>
        <v>9443.8520655170851</v>
      </c>
      <c r="D27" s="17">
        <f>B27/3000</f>
        <v>3.3414188393012365</v>
      </c>
      <c r="E27" s="37">
        <f>(C27-B27)/D27</f>
        <v>-173.70000000000007</v>
      </c>
      <c r="F27" s="26"/>
      <c r="G27" s="18"/>
      <c r="H27" s="19">
        <f>D27*50/B27</f>
        <v>1.6666666666666666E-2</v>
      </c>
    </row>
    <row r="28" spans="1:8" ht="13" thickBot="1">
      <c r="A28" s="13"/>
      <c r="B28" s="22"/>
      <c r="C28" s="23"/>
      <c r="D28" s="23"/>
      <c r="E28" s="27"/>
      <c r="F28" s="30"/>
      <c r="G28" s="10"/>
      <c r="H28" s="24"/>
    </row>
    <row r="29" spans="1:8" s="1" customFormat="1">
      <c r="A29" s="15">
        <f>A27+7</f>
        <v>43023</v>
      </c>
      <c r="B29" s="20">
        <f>C27+F27-G27</f>
        <v>9443.8520655170851</v>
      </c>
      <c r="C29" s="21">
        <f>B29+(B29*0.0774)</f>
        <v>10174.806215388107</v>
      </c>
      <c r="D29" s="17">
        <f>B29/3000</f>
        <v>3.1479506885056949</v>
      </c>
      <c r="E29" s="101">
        <f>(C29-B29)/D29</f>
        <v>232.2</v>
      </c>
      <c r="F29" s="26"/>
      <c r="G29" s="18"/>
      <c r="H29" s="19">
        <f>D29*50/B29</f>
        <v>1.6666666666666663E-2</v>
      </c>
    </row>
    <row r="30" spans="1:8" s="1" customFormat="1">
      <c r="A30" s="15">
        <f>A29+7</f>
        <v>43030</v>
      </c>
      <c r="B30" s="20">
        <f>C29+F29-G29</f>
        <v>10174.806215388107</v>
      </c>
      <c r="C30" s="21">
        <f>B30+(B30*0.0717)</f>
        <v>10904.339821031435</v>
      </c>
      <c r="D30" s="17">
        <f>B30/3000</f>
        <v>3.391602071796036</v>
      </c>
      <c r="E30" s="101">
        <f>(C30-B30)/D30</f>
        <v>215.10000000000019</v>
      </c>
      <c r="F30" s="18"/>
      <c r="G30" s="18"/>
      <c r="H30" s="19">
        <f>D30*50/B30</f>
        <v>1.666666666666667E-2</v>
      </c>
    </row>
    <row r="31" spans="1:8" s="1" customFormat="1">
      <c r="A31" s="15">
        <f>A30+7</f>
        <v>43037</v>
      </c>
      <c r="B31" s="20">
        <f>C30+F30-G30</f>
        <v>10904.339821031435</v>
      </c>
      <c r="C31" s="21">
        <f>B31+(B31*0.09)</f>
        <v>11885.730404924265</v>
      </c>
      <c r="D31" s="17">
        <f>B31/3000</f>
        <v>3.6347799403438117</v>
      </c>
      <c r="E31" s="101">
        <f>(C31-B31)/D31</f>
        <v>270.00000000000006</v>
      </c>
      <c r="F31" s="18">
        <f>SharonN_Perfomance!C4</f>
        <v>500</v>
      </c>
      <c r="G31" s="18"/>
      <c r="H31" s="19">
        <f>D31*50/B31</f>
        <v>1.6666666666666666E-2</v>
      </c>
    </row>
    <row r="32" spans="1:8" s="1" customFormat="1" ht="13" thickBot="1">
      <c r="A32" s="15">
        <f>A31+7</f>
        <v>43044</v>
      </c>
      <c r="B32" s="20">
        <f>C31+F31-G31</f>
        <v>12385.730404924265</v>
      </c>
      <c r="C32" s="17">
        <f>B32+(B32*-0.0353)</f>
        <v>11948.514121630438</v>
      </c>
      <c r="D32" s="17">
        <f>B32/3000</f>
        <v>4.1285768016414215</v>
      </c>
      <c r="E32" s="37">
        <f>(C32-B32)/D32</f>
        <v>-105.9</v>
      </c>
      <c r="F32" s="26"/>
      <c r="G32" s="18"/>
      <c r="H32" s="19">
        <f>D32*50/B32</f>
        <v>1.6666666666666666E-2</v>
      </c>
    </row>
    <row r="33" spans="1:8" ht="13" thickBot="1">
      <c r="A33" s="13"/>
      <c r="B33" s="22"/>
      <c r="C33" s="23"/>
      <c r="D33" s="23"/>
      <c r="E33" s="27"/>
      <c r="F33" s="30"/>
      <c r="G33" s="10"/>
      <c r="H33" s="24"/>
    </row>
    <row r="34" spans="1:8" s="1" customFormat="1">
      <c r="A34" s="15">
        <f>A32+7</f>
        <v>43051</v>
      </c>
      <c r="B34" s="20">
        <f>C32+F32-G32</f>
        <v>11948.514121630438</v>
      </c>
      <c r="C34" s="99">
        <f>B34+(B34*-0.1562)</f>
        <v>10082.156215831765</v>
      </c>
      <c r="D34" s="17">
        <f>B34/3000</f>
        <v>3.9828380405434793</v>
      </c>
      <c r="E34" s="95">
        <f>(C34-B34)/D34</f>
        <v>-468.5999999999998</v>
      </c>
      <c r="F34" s="26"/>
      <c r="G34" s="18"/>
      <c r="H34" s="19">
        <f>D34*50/B34</f>
        <v>1.6666666666666666E-2</v>
      </c>
    </row>
    <row r="35" spans="1:8" s="1" customFormat="1">
      <c r="A35" s="15">
        <f>A34+7</f>
        <v>43058</v>
      </c>
      <c r="B35" s="20">
        <f>C34+F34-G34</f>
        <v>10082.156215831765</v>
      </c>
      <c r="C35" s="21">
        <f>B35+(B35*0.081)</f>
        <v>10898.810869314138</v>
      </c>
      <c r="D35" s="17">
        <f>B35/2500</f>
        <v>4.0328624863327063</v>
      </c>
      <c r="E35" s="101">
        <f>(C35-B35)/D35</f>
        <v>202.50000000000017</v>
      </c>
      <c r="F35" s="18"/>
      <c r="G35" s="18"/>
      <c r="H35" s="19">
        <f>D35*50/B35</f>
        <v>2.0000000000000004E-2</v>
      </c>
    </row>
    <row r="36" spans="1:8" s="1" customFormat="1">
      <c r="A36" s="15">
        <f>A35+7</f>
        <v>43065</v>
      </c>
      <c r="B36" s="20">
        <f>C35+F35-G35</f>
        <v>10898.810869314138</v>
      </c>
      <c r="C36" s="17">
        <f>B36+(B36*-0.0343)</f>
        <v>10524.981656496664</v>
      </c>
      <c r="D36" s="17">
        <f>B36/2500</f>
        <v>4.3595243477256558</v>
      </c>
      <c r="E36" s="37">
        <f>(C36-B36)/D36</f>
        <v>-85.749999999999872</v>
      </c>
      <c r="F36" s="18"/>
      <c r="G36" s="18"/>
      <c r="H36" s="19">
        <f>D36*50/B36</f>
        <v>2.0000000000000004E-2</v>
      </c>
    </row>
    <row r="37" spans="1:8" s="1" customFormat="1" ht="13" thickBot="1">
      <c r="A37" s="15">
        <f>A36+7</f>
        <v>43072</v>
      </c>
      <c r="B37" s="20">
        <f>C36+F36-G36</f>
        <v>10524.981656496664</v>
      </c>
      <c r="C37" s="21">
        <f>B37+(B37*0.10018)</f>
        <v>11579.374318844501</v>
      </c>
      <c r="D37" s="17">
        <f>B37/3250</f>
        <v>3.2384558943066657</v>
      </c>
      <c r="E37" s="101">
        <f>(C37-B37)/D37</f>
        <v>325.58500000000021</v>
      </c>
      <c r="F37" s="26"/>
      <c r="G37" s="18"/>
      <c r="H37" s="19">
        <f>D37*50/B37</f>
        <v>1.5384615384615384E-2</v>
      </c>
    </row>
    <row r="38" spans="1:8" ht="13" thickBot="1">
      <c r="A38" s="13"/>
      <c r="B38" s="22"/>
      <c r="C38" s="23"/>
      <c r="D38" s="23"/>
      <c r="E38" s="27"/>
      <c r="F38" s="30"/>
      <c r="G38" s="10"/>
      <c r="H38" s="24"/>
    </row>
    <row r="39" spans="1:8" s="1" customFormat="1">
      <c r="A39" s="15">
        <f>A37+7</f>
        <v>43079</v>
      </c>
      <c r="B39" s="20">
        <f>C37+F37-G37</f>
        <v>11579.374318844501</v>
      </c>
      <c r="C39" s="17">
        <f>B39+(B39*0.0214)</f>
        <v>11827.172929267774</v>
      </c>
      <c r="D39" s="17">
        <f>B39/3250</f>
        <v>3.5628844057983078</v>
      </c>
      <c r="E39" s="34">
        <f>(C39-B39)/D39</f>
        <v>69.550000000000253</v>
      </c>
      <c r="F39" s="18">
        <f>Taf_Perfomance!$F$128</f>
        <v>700</v>
      </c>
      <c r="G39" s="18"/>
      <c r="H39" s="19">
        <f>D39*50/B39</f>
        <v>1.5384615384615384E-2</v>
      </c>
    </row>
    <row r="40" spans="1:8" s="1" customFormat="1">
      <c r="A40" s="15">
        <f>A39+7</f>
        <v>43086</v>
      </c>
      <c r="B40" s="20">
        <f>C39+F39-G39</f>
        <v>12527.172929267774</v>
      </c>
      <c r="C40" s="17">
        <f>B40+(B40*0.0087)</f>
        <v>12636.159333752403</v>
      </c>
      <c r="D40" s="17">
        <f>B40/3250</f>
        <v>3.8545147474670074</v>
      </c>
      <c r="E40" s="34">
        <f>(C40-B40)/D40</f>
        <v>28.274999999999842</v>
      </c>
      <c r="F40" s="18"/>
      <c r="G40" s="18"/>
      <c r="H40" s="19">
        <f>D40*50/B40</f>
        <v>1.5384615384615385E-2</v>
      </c>
    </row>
    <row r="41" spans="1:8" s="1" customFormat="1">
      <c r="A41" s="15">
        <f>A40+7</f>
        <v>43093</v>
      </c>
      <c r="B41" s="20">
        <f>C40+F40-G40</f>
        <v>12636.159333752403</v>
      </c>
      <c r="C41" s="17">
        <f>B41+(B41*0)</f>
        <v>12636.159333752403</v>
      </c>
      <c r="D41" s="17">
        <f>B41/3250</f>
        <v>3.8880490257699702</v>
      </c>
      <c r="E41" s="37">
        <f>(C41-B41)/D41</f>
        <v>0</v>
      </c>
      <c r="F41" s="18"/>
      <c r="G41" s="18"/>
      <c r="H41" s="19">
        <f>D41*50/B41</f>
        <v>1.5384615384615387E-2</v>
      </c>
    </row>
    <row r="42" spans="1:8" s="1" customFormat="1" ht="13" thickBot="1">
      <c r="A42" s="15">
        <f>A41+7</f>
        <v>43100</v>
      </c>
      <c r="B42" s="20">
        <f>C41+F41-G41</f>
        <v>12636.159333752403</v>
      </c>
      <c r="C42" s="17">
        <f>B42+(B42*0)</f>
        <v>12636.159333752403</v>
      </c>
      <c r="D42" s="17">
        <f>B42/3250</f>
        <v>3.8880490257699702</v>
      </c>
      <c r="E42" s="37">
        <f>(C42-B42)/D42</f>
        <v>0</v>
      </c>
      <c r="F42" s="26"/>
      <c r="G42" s="18"/>
      <c r="H42" s="19">
        <f>D42*50/B42</f>
        <v>1.5384615384615387E-2</v>
      </c>
    </row>
    <row r="43" spans="1:8" ht="13" thickBot="1">
      <c r="A43" s="13"/>
      <c r="B43" s="22"/>
      <c r="C43" s="23"/>
      <c r="D43" s="23"/>
      <c r="E43" s="27"/>
      <c r="F43" s="30"/>
      <c r="G43" s="10"/>
      <c r="H43" s="24"/>
    </row>
    <row r="44" spans="1:8" s="1" customFormat="1">
      <c r="A44" s="15">
        <f>A42+7</f>
        <v>43107</v>
      </c>
      <c r="B44" s="20">
        <f>C42+F42-G42</f>
        <v>12636.159333752403</v>
      </c>
      <c r="C44" s="17">
        <f>B44+(B44*-0.0579)</f>
        <v>11904.525708328139</v>
      </c>
      <c r="D44" s="17">
        <f>B44/3250</f>
        <v>3.8880490257699702</v>
      </c>
      <c r="E44" s="37">
        <f>(C44-B44)/D44</f>
        <v>-188.17499999999978</v>
      </c>
      <c r="F44" s="26">
        <v>1500</v>
      </c>
      <c r="G44" s="52"/>
      <c r="H44" s="19">
        <f>D44*50/B44</f>
        <v>1.5384615384615387E-2</v>
      </c>
    </row>
    <row r="45" spans="1:8" s="1" customFormat="1">
      <c r="A45" s="15">
        <f>A44+7</f>
        <v>43114</v>
      </c>
      <c r="B45" s="20">
        <f>C44+F44-G44</f>
        <v>13404.525708328139</v>
      </c>
      <c r="C45" s="99">
        <f>B45+(B45*-0.1565)</f>
        <v>11306.717434974786</v>
      </c>
      <c r="D45" s="17">
        <f>B45/3250</f>
        <v>4.1244694487163507</v>
      </c>
      <c r="E45" s="95">
        <f>(C45-B45)/D45</f>
        <v>-508.625</v>
      </c>
      <c r="F45" s="26"/>
      <c r="G45" s="33"/>
      <c r="H45" s="19">
        <f>D45*50/B45</f>
        <v>1.5384615384615385E-2</v>
      </c>
    </row>
    <row r="46" spans="1:8" s="1" customFormat="1">
      <c r="A46" s="15">
        <f>A45+7</f>
        <v>43121</v>
      </c>
      <c r="B46" s="20">
        <f>C45+F45-G45</f>
        <v>11306.717434974786</v>
      </c>
      <c r="C46" s="99">
        <f>B46+(B46*-0.2248)</f>
        <v>8764.9673555924528</v>
      </c>
      <c r="D46" s="17">
        <f>B46/3250</f>
        <v>3.4789899799922419</v>
      </c>
      <c r="E46" s="95">
        <f>(C46-B46)/D46</f>
        <v>-730.60000000000025</v>
      </c>
      <c r="F46" s="26"/>
      <c r="G46" s="33"/>
      <c r="H46" s="19">
        <f>D46*50/B46</f>
        <v>1.5384615384615385E-2</v>
      </c>
    </row>
    <row r="47" spans="1:8" s="1" customFormat="1" ht="13" thickBot="1">
      <c r="A47" s="15">
        <f>A46+7</f>
        <v>43128</v>
      </c>
      <c r="B47" s="118">
        <f>C46+F46-G46</f>
        <v>8764.9673555924528</v>
      </c>
      <c r="C47" s="17">
        <f>B47+(B47*0.03)</f>
        <v>9027.9163762602257</v>
      </c>
      <c r="D47" s="17">
        <f>B47/3250</f>
        <v>2.6969130324899853</v>
      </c>
      <c r="E47" s="28">
        <f>(C47-B47)/D47</f>
        <v>97.499999999999744</v>
      </c>
      <c r="F47" s="26"/>
      <c r="G47" s="33"/>
      <c r="H47" s="19">
        <f>D47*50/B47</f>
        <v>1.5384615384615382E-2</v>
      </c>
    </row>
    <row r="48" spans="1:8" ht="13" thickBot="1">
      <c r="A48" s="13"/>
      <c r="B48" s="22"/>
      <c r="C48" s="23"/>
      <c r="D48" s="23"/>
      <c r="E48" s="27"/>
      <c r="F48" s="30"/>
      <c r="G48" s="10"/>
      <c r="H48" s="24"/>
    </row>
    <row r="49" spans="1:8" s="1" customFormat="1">
      <c r="A49" s="15">
        <f>A47+7</f>
        <v>43135</v>
      </c>
      <c r="B49" s="20">
        <f>C47+F47-G47</f>
        <v>9027.9163762602257</v>
      </c>
      <c r="C49" s="17">
        <f>B49+(B49*0.03)</f>
        <v>9298.7538675480318</v>
      </c>
      <c r="D49" s="17">
        <f>B49/3250</f>
        <v>2.7778204234646848</v>
      </c>
      <c r="E49" s="28">
        <f>(C49-B49)/D49</f>
        <v>97.499999999999787</v>
      </c>
      <c r="F49" s="26"/>
      <c r="G49" s="33"/>
      <c r="H49" s="19">
        <f>D49*50/B49</f>
        <v>1.5384615384615384E-2</v>
      </c>
    </row>
    <row r="50" spans="1:8" s="1" customFormat="1">
      <c r="A50" s="15">
        <f>A49+7</f>
        <v>43142</v>
      </c>
      <c r="B50" s="20">
        <f>C49+F49-G49</f>
        <v>9298.7538675480318</v>
      </c>
      <c r="C50" s="17">
        <f>B50+(B50*0.03)</f>
        <v>9577.7164835744734</v>
      </c>
      <c r="D50" s="17">
        <f>B50/3250</f>
        <v>2.8611550361686251</v>
      </c>
      <c r="E50" s="28">
        <f>(C50-B50)/D50</f>
        <v>97.500000000000213</v>
      </c>
      <c r="F50" s="26"/>
      <c r="G50" s="33"/>
      <c r="H50" s="19">
        <f>D50*50/B50</f>
        <v>1.5384615384615384E-2</v>
      </c>
    </row>
    <row r="51" spans="1:8" s="1" customFormat="1">
      <c r="A51" s="15">
        <f>A50+7</f>
        <v>43149</v>
      </c>
      <c r="B51" s="20">
        <f>C50+F50-G50</f>
        <v>9577.7164835744734</v>
      </c>
      <c r="C51" s="17">
        <f>B51+(B51*0.03)</f>
        <v>9865.0479780817077</v>
      </c>
      <c r="D51" s="17">
        <f>B51/3250</f>
        <v>2.946989687253684</v>
      </c>
      <c r="E51" s="28">
        <f>(C51-B51)/D51</f>
        <v>97.500000000000043</v>
      </c>
      <c r="F51" s="26"/>
      <c r="G51" s="33"/>
      <c r="H51" s="19">
        <f>D51*50/B51</f>
        <v>1.5384615384615384E-2</v>
      </c>
    </row>
    <row r="52" spans="1:8" s="1" customFormat="1" ht="13" thickBot="1">
      <c r="A52" s="15">
        <f>A51+7</f>
        <v>43156</v>
      </c>
      <c r="B52" s="20">
        <f>C51+F51-G51</f>
        <v>9865.0479780817077</v>
      </c>
      <c r="C52" s="17">
        <f>B52+(B52*0.03)</f>
        <v>10160.999417424158</v>
      </c>
      <c r="D52" s="17">
        <f>B52/3250</f>
        <v>3.0353993778712947</v>
      </c>
      <c r="E52" s="28">
        <f>(C52-B52)/D52</f>
        <v>97.499999999999801</v>
      </c>
      <c r="F52" s="26"/>
      <c r="G52" s="33"/>
      <c r="H52" s="19">
        <f>D52*50/B52</f>
        <v>1.5384615384615385E-2</v>
      </c>
    </row>
    <row r="53" spans="1:8" ht="13" thickBot="1">
      <c r="A53" s="13"/>
      <c r="B53" s="22"/>
      <c r="C53" s="23"/>
      <c r="D53" s="23"/>
      <c r="E53" s="27"/>
      <c r="F53" s="30"/>
      <c r="G53" s="10"/>
      <c r="H53" s="24"/>
    </row>
    <row r="54" spans="1:8" s="1" customFormat="1">
      <c r="A54" s="15">
        <f>A52+7</f>
        <v>43163</v>
      </c>
      <c r="B54" s="20">
        <f>C52+F52-G52</f>
        <v>10160.999417424158</v>
      </c>
      <c r="C54" s="17">
        <f>B54+(B54*0.03)</f>
        <v>10465.829399946882</v>
      </c>
      <c r="D54" s="17">
        <f>B54/3250</f>
        <v>3.1264613592074335</v>
      </c>
      <c r="E54" s="28">
        <f>(C54-B54)/D54</f>
        <v>97.499999999999787</v>
      </c>
      <c r="F54" s="26"/>
      <c r="G54" s="33"/>
      <c r="H54" s="19">
        <f>D54*50/B54</f>
        <v>1.5384615384615385E-2</v>
      </c>
    </row>
    <row r="55" spans="1:8" s="1" customFormat="1">
      <c r="A55" s="15">
        <f>A54+7</f>
        <v>43170</v>
      </c>
      <c r="B55" s="20">
        <f>C54+F54-G54</f>
        <v>10465.829399946882</v>
      </c>
      <c r="C55" s="17">
        <f>B55+(B55*0.03)</f>
        <v>10779.804281945289</v>
      </c>
      <c r="D55" s="17">
        <f>B55/3250</f>
        <v>3.2202551999836562</v>
      </c>
      <c r="E55" s="28">
        <f>(C55-B55)/D55</f>
        <v>97.500000000000156</v>
      </c>
      <c r="F55" s="26"/>
      <c r="G55" s="33"/>
      <c r="H55" s="19">
        <f>D55*50/B55</f>
        <v>1.5384615384615384E-2</v>
      </c>
    </row>
    <row r="56" spans="1:8" s="1" customFormat="1">
      <c r="A56" s="15">
        <f>A55+7</f>
        <v>43177</v>
      </c>
      <c r="B56" s="20">
        <f>C55+F55-G55</f>
        <v>10779.804281945289</v>
      </c>
      <c r="C56" s="17">
        <f>B56+(B56*0.03)</f>
        <v>11103.198410403647</v>
      </c>
      <c r="D56" s="17">
        <f>B56/3250</f>
        <v>3.3168628559831661</v>
      </c>
      <c r="E56" s="28">
        <f>(C56-B56)/D56</f>
        <v>97.499999999999773</v>
      </c>
      <c r="F56" s="26"/>
      <c r="G56" s="33"/>
      <c r="H56" s="19">
        <f>D56*50/B56</f>
        <v>1.5384615384615385E-2</v>
      </c>
    </row>
    <row r="57" spans="1:8" s="1" customFormat="1" ht="13" thickBot="1">
      <c r="A57" s="15">
        <f>A56+7</f>
        <v>43184</v>
      </c>
      <c r="B57" s="20">
        <f>C56+F56-G56</f>
        <v>11103.198410403647</v>
      </c>
      <c r="C57" s="17">
        <f>B57+(B57*0.03)</f>
        <v>11436.294362715757</v>
      </c>
      <c r="D57" s="17">
        <f>B57/3250</f>
        <v>3.4163687416626609</v>
      </c>
      <c r="E57" s="28">
        <f>(C57-B57)/D57</f>
        <v>97.499999999999915</v>
      </c>
      <c r="F57" s="26"/>
      <c r="G57" s="33"/>
      <c r="H57" s="19">
        <f>D57*50/B57</f>
        <v>1.5384615384615384E-2</v>
      </c>
    </row>
    <row r="58" spans="1:8" ht="13" thickBot="1">
      <c r="A58" s="13"/>
      <c r="B58" s="22"/>
      <c r="C58" s="23"/>
      <c r="D58" s="23"/>
      <c r="E58" s="27"/>
      <c r="F58" s="30"/>
      <c r="G58" s="10"/>
      <c r="H58" s="24"/>
    </row>
    <row r="59" spans="1:8" s="1" customFormat="1">
      <c r="A59" s="15">
        <f>A57+7</f>
        <v>43191</v>
      </c>
      <c r="B59" s="20">
        <f>C57+F57-G57</f>
        <v>11436.294362715757</v>
      </c>
      <c r="C59" s="17">
        <f>B59+(B59*0.03)</f>
        <v>11779.383193597228</v>
      </c>
      <c r="D59" s="17">
        <f>B59/3250</f>
        <v>3.5188598039125405</v>
      </c>
      <c r="E59" s="28">
        <f>(C59-B59)/D59</f>
        <v>97.499999999999787</v>
      </c>
      <c r="F59" s="26"/>
      <c r="G59" s="33"/>
      <c r="H59" s="19">
        <f>D59*50/B59</f>
        <v>1.5384615384615385E-2</v>
      </c>
    </row>
    <row r="60" spans="1:8" s="1" customFormat="1">
      <c r="A60" s="15">
        <f>A59+7</f>
        <v>43198</v>
      </c>
      <c r="B60" s="20">
        <f>C59+F59-G59</f>
        <v>11779.383193597228</v>
      </c>
      <c r="C60" s="17">
        <f>B60+(B60*0.03)</f>
        <v>12132.764689405145</v>
      </c>
      <c r="D60" s="17">
        <f>B60/3250</f>
        <v>3.6244255980299163</v>
      </c>
      <c r="E60" s="28">
        <f>(C60-B60)/D60</f>
        <v>97.499999999999915</v>
      </c>
      <c r="F60" s="26"/>
      <c r="G60" s="33"/>
      <c r="H60" s="19">
        <f>D60*50/B60</f>
        <v>1.5384615384615384E-2</v>
      </c>
    </row>
    <row r="61" spans="1:8" s="1" customFormat="1">
      <c r="A61" s="15">
        <f>A60+7</f>
        <v>43205</v>
      </c>
      <c r="B61" s="20">
        <f>C60+F60-G60</f>
        <v>12132.764689405145</v>
      </c>
      <c r="C61" s="17">
        <f>B61+(B61*0.03)</f>
        <v>12496.747630087299</v>
      </c>
      <c r="D61" s="17">
        <f>B61/3250</f>
        <v>3.7331583659708136</v>
      </c>
      <c r="E61" s="28">
        <f>(C61-B61)/D61</f>
        <v>97.499999999999815</v>
      </c>
      <c r="F61" s="26"/>
      <c r="G61" s="33"/>
      <c r="H61" s="19">
        <f>D61*50/B61</f>
        <v>1.5384615384615385E-2</v>
      </c>
    </row>
    <row r="62" spans="1:8" s="1" customFormat="1" ht="13" thickBot="1">
      <c r="A62" s="15">
        <f>A61+7</f>
        <v>43212</v>
      </c>
      <c r="B62" s="20">
        <f>C61+F61-G61</f>
        <v>12496.747630087299</v>
      </c>
      <c r="C62" s="17">
        <f>B62+(B62*0.03)</f>
        <v>12871.650058989917</v>
      </c>
      <c r="D62" s="17">
        <f>B62/3250</f>
        <v>3.845153116949938</v>
      </c>
      <c r="E62" s="28">
        <f>(C62-B62)/D62</f>
        <v>97.499999999999844</v>
      </c>
      <c r="F62" s="26"/>
      <c r="G62" s="33"/>
      <c r="H62" s="19">
        <f>D62*50/B62</f>
        <v>1.5384615384615384E-2</v>
      </c>
    </row>
    <row r="63" spans="1:8" ht="13" thickBot="1">
      <c r="A63" s="13"/>
      <c r="B63" s="22"/>
      <c r="C63" s="23"/>
      <c r="D63" s="23"/>
      <c r="E63" s="27"/>
      <c r="F63" s="30"/>
      <c r="G63" s="10"/>
      <c r="H63" s="24"/>
    </row>
    <row r="64" spans="1:8" s="1" customFormat="1">
      <c r="A64" s="15">
        <f>A62+7</f>
        <v>43219</v>
      </c>
      <c r="B64" s="20">
        <f>C62+F62-G62</f>
        <v>12871.650058989917</v>
      </c>
      <c r="C64" s="17">
        <f>B64+(B64*0.03)</f>
        <v>13257.799560759615</v>
      </c>
      <c r="D64" s="17">
        <f>B64/3250</f>
        <v>3.9605077104584359</v>
      </c>
      <c r="E64" s="28">
        <f>(C64-B64)/D64</f>
        <v>97.500000000000114</v>
      </c>
      <c r="F64" s="26"/>
      <c r="G64" s="33"/>
      <c r="H64" s="19">
        <f>D64*50/B64</f>
        <v>1.5384615384615384E-2</v>
      </c>
    </row>
    <row r="65" spans="1:8" s="1" customFormat="1">
      <c r="A65" s="15">
        <f>A64+7</f>
        <v>43226</v>
      </c>
      <c r="B65" s="20">
        <f>C64+F64-G64</f>
        <v>13257.799560759615</v>
      </c>
      <c r="C65" s="17">
        <f>B65+(B65*0.03)</f>
        <v>13655.533547582403</v>
      </c>
      <c r="D65" s="17">
        <f>B65/3250</f>
        <v>4.0793229417721895</v>
      </c>
      <c r="E65" s="28">
        <f>(C65-B65)/D65</f>
        <v>97.499999999999929</v>
      </c>
      <c r="F65" s="26"/>
      <c r="G65" s="33"/>
      <c r="H65" s="19">
        <f>D65*50/B65</f>
        <v>1.5384615384615385E-2</v>
      </c>
    </row>
    <row r="66" spans="1:8" s="1" customFormat="1">
      <c r="A66" s="15">
        <f>A65+7</f>
        <v>43233</v>
      </c>
      <c r="B66" s="20">
        <f>C65+F65-G65</f>
        <v>13655.533547582403</v>
      </c>
      <c r="C66" s="17">
        <f>B66+(B66*0.03)</f>
        <v>14065.199554009876</v>
      </c>
      <c r="D66" s="17">
        <f>B66/3250</f>
        <v>4.2017026300253546</v>
      </c>
      <c r="E66" s="28">
        <f>(C66-B66)/D66</f>
        <v>97.500000000000199</v>
      </c>
      <c r="F66" s="26"/>
      <c r="G66" s="33"/>
      <c r="H66" s="19">
        <f>D66*50/B66</f>
        <v>1.5384615384615384E-2</v>
      </c>
    </row>
    <row r="67" spans="1:8" s="1" customFormat="1" ht="13" thickBot="1">
      <c r="A67" s="15">
        <f>A66+7</f>
        <v>43240</v>
      </c>
      <c r="B67" s="20">
        <f>C66+F66-G66</f>
        <v>14065.199554009876</v>
      </c>
      <c r="C67" s="17">
        <f>B67+(B67*0.03)</f>
        <v>14487.155540630172</v>
      </c>
      <c r="D67" s="17">
        <f>B67/3250</f>
        <v>4.3277537089261156</v>
      </c>
      <c r="E67" s="28">
        <f>(C67-B67)/D67</f>
        <v>97.5</v>
      </c>
      <c r="F67" s="26"/>
      <c r="G67" s="33"/>
      <c r="H67" s="19">
        <f>D67*50/B67</f>
        <v>1.5384615384615384E-2</v>
      </c>
    </row>
    <row r="68" spans="1:8" ht="13" thickBot="1">
      <c r="A68" s="13"/>
      <c r="B68" s="22"/>
      <c r="C68" s="23"/>
      <c r="D68" s="23"/>
      <c r="E68" s="27"/>
      <c r="F68" s="30"/>
      <c r="G68" s="10"/>
      <c r="H68" s="24"/>
    </row>
    <row r="69" spans="1:8" s="1" customFormat="1">
      <c r="A69" s="15">
        <f>A67+7</f>
        <v>43247</v>
      </c>
      <c r="B69" s="20">
        <f>C67+F67-G67</f>
        <v>14487.155540630172</v>
      </c>
      <c r="C69" s="17">
        <f>B69+(B69*0.03)</f>
        <v>14921.770206849078</v>
      </c>
      <c r="D69" s="17">
        <f>B69/3250</f>
        <v>4.457586320193899</v>
      </c>
      <c r="E69" s="28">
        <f>(C69-B69)/D69</f>
        <v>97.500000000000142</v>
      </c>
      <c r="F69" s="26"/>
      <c r="G69" s="33"/>
      <c r="H69" s="19">
        <f>D69*50/B69</f>
        <v>1.5384615384615384E-2</v>
      </c>
    </row>
    <row r="70" spans="1:8" s="1" customFormat="1">
      <c r="A70" s="15">
        <f>A69+7</f>
        <v>43254</v>
      </c>
      <c r="B70" s="20">
        <f>C69+F69-G69</f>
        <v>14921.770206849078</v>
      </c>
      <c r="C70" s="17">
        <f>B70+(B70*0.03)</f>
        <v>15369.423313054551</v>
      </c>
      <c r="D70" s="17">
        <f>B70/3250</f>
        <v>4.591313909799716</v>
      </c>
      <c r="E70" s="28">
        <f>(C70-B70)/D70</f>
        <v>97.500000000000099</v>
      </c>
      <c r="F70" s="26"/>
      <c r="G70" s="63"/>
      <c r="H70" s="19">
        <f>D70*50/B70</f>
        <v>1.5384615384615382E-2</v>
      </c>
    </row>
    <row r="71" spans="1:8" s="1" customFormat="1">
      <c r="A71" s="15">
        <f>A70+7</f>
        <v>43261</v>
      </c>
      <c r="B71" s="20">
        <f>C70+F70-G70</f>
        <v>15369.423313054551</v>
      </c>
      <c r="C71" s="17">
        <f>B71+(B71*0.03)</f>
        <v>15830.506012446187</v>
      </c>
      <c r="D71" s="17">
        <f>B71/3250</f>
        <v>4.7290533270937081</v>
      </c>
      <c r="E71" s="28">
        <f>(C71-B71)/D71</f>
        <v>97.499999999999929</v>
      </c>
      <c r="F71" s="26"/>
      <c r="G71" s="33"/>
      <c r="H71" s="19">
        <f>D71*50/B71</f>
        <v>1.5384615384615384E-2</v>
      </c>
    </row>
    <row r="72" spans="1:8" s="1" customFormat="1" ht="13" thickBot="1">
      <c r="A72" s="15">
        <f>A71+7</f>
        <v>43268</v>
      </c>
      <c r="B72" s="20">
        <f>C71+F71-G71</f>
        <v>15830.506012446187</v>
      </c>
      <c r="C72" s="17">
        <f>B72+(B72*0.03)</f>
        <v>16305.421192819573</v>
      </c>
      <c r="D72" s="17">
        <f>B72/3250</f>
        <v>4.8709249269065191</v>
      </c>
      <c r="E72" s="28">
        <f>(C72-B72)/D72</f>
        <v>97.500000000000028</v>
      </c>
      <c r="F72" s="26"/>
      <c r="G72" s="33"/>
      <c r="H72" s="19">
        <f>D72*50/B72</f>
        <v>1.5384615384615385E-2</v>
      </c>
    </row>
    <row r="73" spans="1:8" ht="13" thickBot="1">
      <c r="A73" s="13"/>
      <c r="B73" s="22"/>
      <c r="C73" s="23"/>
      <c r="D73" s="23"/>
      <c r="E73" s="27"/>
      <c r="F73" s="30"/>
      <c r="G73" s="10"/>
      <c r="H73" s="24"/>
    </row>
    <row r="74" spans="1:8" s="1" customFormat="1">
      <c r="A74" s="15">
        <f>A72+7</f>
        <v>43275</v>
      </c>
      <c r="B74" s="20">
        <f>C72+F72-G72</f>
        <v>16305.421192819573</v>
      </c>
      <c r="C74" s="17">
        <f>B74+(B74*0.03)</f>
        <v>16794.583828604162</v>
      </c>
      <c r="D74" s="17">
        <f>B74/3250</f>
        <v>5.0170526747137147</v>
      </c>
      <c r="E74" s="28">
        <f>(C74-B74)/D74</f>
        <v>97.500000000000341</v>
      </c>
      <c r="F74" s="26"/>
      <c r="G74" s="33"/>
      <c r="H74" s="19">
        <f>D74*50/B74</f>
        <v>1.5384615384615385E-2</v>
      </c>
    </row>
    <row r="75" spans="1:8" s="1" customFormat="1">
      <c r="A75" s="15">
        <f>A74+7</f>
        <v>43282</v>
      </c>
      <c r="B75" s="20">
        <f>C74+F74-G74</f>
        <v>16794.583828604162</v>
      </c>
      <c r="C75" s="17">
        <f>B75+(B75*0.03)</f>
        <v>17298.421343462287</v>
      </c>
      <c r="D75" s="17">
        <f>B75/3250</f>
        <v>5.1675642549551268</v>
      </c>
      <c r="E75" s="28">
        <f>(C75-B75)/D75</f>
        <v>97.500000000000099</v>
      </c>
      <c r="F75" s="26"/>
      <c r="G75" s="33"/>
      <c r="H75" s="19">
        <f>D75*50/B75</f>
        <v>1.5384615384615384E-2</v>
      </c>
    </row>
    <row r="76" spans="1:8" s="1" customFormat="1">
      <c r="A76" s="15">
        <f>A75+7</f>
        <v>43289</v>
      </c>
      <c r="B76" s="20">
        <f>C75+F75-G75</f>
        <v>17298.421343462287</v>
      </c>
      <c r="C76" s="17">
        <f>B76+(B76*0.03)</f>
        <v>17817.373983766156</v>
      </c>
      <c r="D76" s="17">
        <f>B76/3250</f>
        <v>5.3225911826037811</v>
      </c>
      <c r="E76" s="28">
        <f>(C76-B76)/D76</f>
        <v>97.500000000000057</v>
      </c>
      <c r="F76" s="26"/>
      <c r="G76" s="33"/>
      <c r="H76" s="19">
        <f>D76*50/B76</f>
        <v>1.5384615384615387E-2</v>
      </c>
    </row>
    <row r="77" spans="1:8" s="1" customFormat="1" ht="13" thickBot="1">
      <c r="A77" s="15">
        <f>A76+7</f>
        <v>43296</v>
      </c>
      <c r="B77" s="20">
        <f>C76+F76-G76</f>
        <v>17817.373983766156</v>
      </c>
      <c r="C77" s="17">
        <f>B77+(B77*0.03)</f>
        <v>18351.895203279142</v>
      </c>
      <c r="D77" s="17">
        <f>B77/3250</f>
        <v>5.4822689180818944</v>
      </c>
      <c r="E77" s="28">
        <f>(C77-B77)/D77</f>
        <v>97.500000000000256</v>
      </c>
      <c r="F77" s="26"/>
      <c r="G77" s="33"/>
      <c r="H77" s="19">
        <f>D77*50/B77</f>
        <v>1.5384615384615384E-2</v>
      </c>
    </row>
    <row r="78" spans="1:8" ht="13" thickBot="1">
      <c r="A78" s="13"/>
      <c r="B78" s="22"/>
      <c r="C78" s="23"/>
      <c r="D78" s="23"/>
      <c r="E78" s="27"/>
      <c r="F78" s="30"/>
      <c r="G78" s="10"/>
      <c r="H78" s="24"/>
    </row>
    <row r="79" spans="1:8" s="1" customFormat="1">
      <c r="A79" s="15">
        <f>A77+7</f>
        <v>43303</v>
      </c>
      <c r="B79" s="20">
        <f>C77+F77-G77</f>
        <v>18351.895203279142</v>
      </c>
      <c r="C79" s="17">
        <f>B79+(B79*0.03)</f>
        <v>18902.452059377516</v>
      </c>
      <c r="D79" s="17">
        <f>B79/3250</f>
        <v>5.6467369856243517</v>
      </c>
      <c r="E79" s="28">
        <f>(C79-B79)/D79</f>
        <v>97.499999999999915</v>
      </c>
      <c r="F79" s="26"/>
      <c r="G79" s="33"/>
      <c r="H79" s="19">
        <f>D79*50/B79</f>
        <v>1.5384615384615387E-2</v>
      </c>
    </row>
    <row r="80" spans="1:8" s="1" customFormat="1">
      <c r="A80" s="15">
        <f>A79+7</f>
        <v>43310</v>
      </c>
      <c r="B80" s="20">
        <f>C79+F79-G79</f>
        <v>18902.452059377516</v>
      </c>
      <c r="C80" s="17">
        <f>B80+(B80*0.03)</f>
        <v>19469.525621158842</v>
      </c>
      <c r="D80" s="17">
        <f>B80/3250</f>
        <v>5.8161390951930816</v>
      </c>
      <c r="E80" s="28">
        <f>(C80-B80)/D80</f>
        <v>97.500000000000114</v>
      </c>
      <c r="F80" s="26"/>
      <c r="G80" s="63"/>
      <c r="H80" s="19">
        <f>D80*50/B80</f>
        <v>1.5384615384615385E-2</v>
      </c>
    </row>
    <row r="81" spans="1:8" s="1" customFormat="1">
      <c r="A81" s="15">
        <f>A80+7</f>
        <v>43317</v>
      </c>
      <c r="B81" s="20">
        <f>C80+F80-G80</f>
        <v>19469.525621158842</v>
      </c>
      <c r="C81" s="17">
        <f>B81+(B81*0.03)</f>
        <v>20053.611389793608</v>
      </c>
      <c r="D81" s="17">
        <f>B81/3250</f>
        <v>5.9906232680488749</v>
      </c>
      <c r="E81" s="28">
        <f>(C81-B81)/D81</f>
        <v>97.500000000000156</v>
      </c>
      <c r="F81" s="26"/>
      <c r="G81" s="33"/>
      <c r="H81" s="19">
        <f>D81*50/B81</f>
        <v>1.5384615384615384E-2</v>
      </c>
    </row>
    <row r="82" spans="1:8" s="1" customFormat="1" ht="13" thickBot="1">
      <c r="A82" s="15">
        <f>A81+7</f>
        <v>43324</v>
      </c>
      <c r="B82" s="20">
        <f>C81+F81-G81</f>
        <v>20053.611389793608</v>
      </c>
      <c r="C82" s="17">
        <f>B82+(B82*0.03)</f>
        <v>20655.219731487417</v>
      </c>
      <c r="D82" s="17">
        <f>B82/3250</f>
        <v>6.1703419660903407</v>
      </c>
      <c r="E82" s="28">
        <f>(C82-B82)/D82</f>
        <v>97.500000000000142</v>
      </c>
      <c r="F82" s="26"/>
      <c r="G82" s="33"/>
      <c r="H82" s="19">
        <f>D82*50/B82</f>
        <v>1.5384615384615384E-2</v>
      </c>
    </row>
    <row r="83" spans="1:8" ht="13" thickBot="1">
      <c r="A83" s="13"/>
      <c r="B83" s="22"/>
      <c r="C83" s="23"/>
      <c r="D83" s="23"/>
      <c r="E83" s="27"/>
      <c r="F83" s="30"/>
      <c r="G83" s="10"/>
      <c r="H83" s="24"/>
    </row>
    <row r="84" spans="1:8" s="1" customFormat="1">
      <c r="A84" s="15">
        <f>A82+7</f>
        <v>43331</v>
      </c>
      <c r="B84" s="20">
        <f>C82+F82-G82</f>
        <v>20655.219731487417</v>
      </c>
      <c r="C84" s="17">
        <f>B84+(B84*0.03)</f>
        <v>21274.876323432039</v>
      </c>
      <c r="D84" s="17">
        <f>B84/3250</f>
        <v>6.3554522250730514</v>
      </c>
      <c r="E84" s="28">
        <f>(C84-B84)/D84</f>
        <v>97.499999999999929</v>
      </c>
      <c r="F84" s="26"/>
      <c r="G84" s="33"/>
      <c r="H84" s="19">
        <f>D84*50/B84</f>
        <v>1.5384615384615385E-2</v>
      </c>
    </row>
    <row r="85" spans="1:8" s="1" customFormat="1">
      <c r="A85" s="15">
        <f>A84+7</f>
        <v>43338</v>
      </c>
      <c r="B85" s="20">
        <f>C84+F84-G84</f>
        <v>21274.876323432039</v>
      </c>
      <c r="C85" s="17">
        <f>B85+(B85*0.03)</f>
        <v>21913.122613135001</v>
      </c>
      <c r="D85" s="17">
        <f>B85/3250</f>
        <v>6.5461157918252431</v>
      </c>
      <c r="E85" s="28">
        <f>(C85-B85)/D85</f>
        <v>97.500000000000099</v>
      </c>
      <c r="F85" s="26"/>
      <c r="G85" s="33"/>
      <c r="H85" s="19">
        <f>D85*50/B85</f>
        <v>1.5384615384615385E-2</v>
      </c>
    </row>
    <row r="86" spans="1:8" s="1" customFormat="1">
      <c r="A86" s="15">
        <f>A85+7</f>
        <v>43345</v>
      </c>
      <c r="B86" s="20">
        <f>C85+F85-G85</f>
        <v>21913.122613135001</v>
      </c>
      <c r="C86" s="17">
        <f>B86+(B86*0.03)</f>
        <v>22570.516291529053</v>
      </c>
      <c r="D86" s="17">
        <f>B86/3250</f>
        <v>6.7424992655800002</v>
      </c>
      <c r="E86" s="28">
        <f>(C86-B86)/D86</f>
        <v>97.500000000000242</v>
      </c>
      <c r="F86" s="26"/>
      <c r="G86" s="33"/>
      <c r="H86" s="19">
        <f>D86*50/B86</f>
        <v>1.5384615384615384E-2</v>
      </c>
    </row>
    <row r="87" spans="1:8" s="1" customFormat="1" ht="13" thickBot="1">
      <c r="A87" s="15">
        <f>A86+7</f>
        <v>43352</v>
      </c>
      <c r="B87" s="20">
        <f>C86+F86-G86</f>
        <v>22570.516291529053</v>
      </c>
      <c r="C87" s="17">
        <f>B87+(B87*0.03)</f>
        <v>23247.631780274925</v>
      </c>
      <c r="D87" s="17">
        <f>B87/3250</f>
        <v>6.9447742435474007</v>
      </c>
      <c r="E87" s="28">
        <f>(C87-B87)/D87</f>
        <v>97.500000000000128</v>
      </c>
      <c r="F87" s="26"/>
      <c r="G87" s="33"/>
      <c r="H87" s="19">
        <f>D87*50/B87</f>
        <v>1.5384615384615384E-2</v>
      </c>
    </row>
    <row r="88" spans="1:8" ht="13" thickBot="1">
      <c r="A88" s="13"/>
      <c r="B88" s="22"/>
      <c r="C88" s="23"/>
      <c r="D88" s="23"/>
      <c r="E88" s="27"/>
      <c r="F88" s="30"/>
      <c r="G88" s="10"/>
      <c r="H88" s="24"/>
    </row>
    <row r="89" spans="1:8" s="1" customFormat="1">
      <c r="A89" s="15">
        <f>A87+7</f>
        <v>43359</v>
      </c>
      <c r="B89" s="20">
        <f>C87+F87-G87</f>
        <v>23247.631780274925</v>
      </c>
      <c r="C89" s="17">
        <f>B89+(B89*0.03)</f>
        <v>23945.060733683174</v>
      </c>
      <c r="D89" s="17">
        <f>B89/3250</f>
        <v>7.1531174708538234</v>
      </c>
      <c r="E89" s="28">
        <f>(C89-B89)/D89</f>
        <v>97.500000000000185</v>
      </c>
      <c r="F89" s="26"/>
      <c r="G89" s="33"/>
      <c r="H89" s="19">
        <f>D89*50/B89</f>
        <v>1.5384615384615384E-2</v>
      </c>
    </row>
    <row r="90" spans="1:8" s="1" customFormat="1">
      <c r="A90" s="15">
        <f>A89+7</f>
        <v>43366</v>
      </c>
      <c r="B90" s="20">
        <f>C89+F89-G89</f>
        <v>23945.060733683174</v>
      </c>
      <c r="C90" s="17">
        <f>B90+(B90*0.03)</f>
        <v>24663.412555693671</v>
      </c>
      <c r="D90" s="17">
        <f>B90/3250</f>
        <v>7.3677109949794382</v>
      </c>
      <c r="E90" s="28">
        <f>(C90-B90)/D90</f>
        <v>97.500000000000114</v>
      </c>
      <c r="F90" s="26"/>
      <c r="G90" s="33"/>
      <c r="H90" s="19">
        <f>D90*50/B90</f>
        <v>1.5384615384615385E-2</v>
      </c>
    </row>
    <row r="91" spans="1:8" s="1" customFormat="1">
      <c r="A91" s="15">
        <f>A90+7</f>
        <v>43373</v>
      </c>
      <c r="B91" s="20">
        <f>C90+F90-G90</f>
        <v>24663.412555693671</v>
      </c>
      <c r="C91" s="17">
        <f>B91+(B91*0.03)</f>
        <v>25403.314932364479</v>
      </c>
      <c r="D91" s="17">
        <f>B91/3250</f>
        <v>7.5887423248288215</v>
      </c>
      <c r="E91" s="28">
        <f>(C91-B91)/D91</f>
        <v>97.499999999999815</v>
      </c>
      <c r="F91" s="26"/>
      <c r="G91" s="33"/>
      <c r="H91" s="19">
        <f>D91*50/B91</f>
        <v>1.5384615384615384E-2</v>
      </c>
    </row>
    <row r="92" spans="1:8" s="1" customFormat="1" ht="13" thickBot="1">
      <c r="A92" s="15">
        <f>A91+7</f>
        <v>43380</v>
      </c>
      <c r="B92" s="20">
        <f>C91+F91-G91</f>
        <v>25403.314932364479</v>
      </c>
      <c r="C92" s="17">
        <f>B92+(B92*0.03)</f>
        <v>26165.414380335413</v>
      </c>
      <c r="D92" s="17">
        <f>B92/3250</f>
        <v>7.8164045945736857</v>
      </c>
      <c r="E92" s="28">
        <f>(C92-B92)/D92</f>
        <v>97.499999999999872</v>
      </c>
      <c r="F92" s="26"/>
      <c r="G92" s="33"/>
      <c r="H92" s="19">
        <f>D92*50/B92</f>
        <v>1.5384615384615384E-2</v>
      </c>
    </row>
    <row r="93" spans="1:8" ht="13" thickBot="1">
      <c r="A93" s="13"/>
      <c r="B93" s="22"/>
      <c r="C93" s="23"/>
      <c r="D93" s="23"/>
      <c r="E93" s="27"/>
      <c r="F93" s="30"/>
      <c r="G93" s="10"/>
      <c r="H93" s="24"/>
    </row>
    <row r="94" spans="1:8" s="1" customFormat="1">
      <c r="A94" s="15">
        <f>A92+7</f>
        <v>43387</v>
      </c>
      <c r="B94" s="20">
        <f>C92+F92-G92</f>
        <v>26165.414380335413</v>
      </c>
      <c r="C94" s="17">
        <f>B94+(B94*0.03)</f>
        <v>26950.376811745475</v>
      </c>
      <c r="D94" s="17">
        <f>B94/3250</f>
        <v>8.0508967324108962</v>
      </c>
      <c r="E94" s="28">
        <f>(C94-B94)/D94</f>
        <v>97.499999999999957</v>
      </c>
      <c r="F94" s="26"/>
      <c r="G94" s="33"/>
      <c r="H94" s="19">
        <f>D94*50/B94</f>
        <v>1.5384615384615384E-2</v>
      </c>
    </row>
    <row r="95" spans="1:8" s="1" customFormat="1">
      <c r="A95" s="15">
        <f>A94+7</f>
        <v>43394</v>
      </c>
      <c r="B95" s="20">
        <f>C94+F94-G94</f>
        <v>26950.376811745475</v>
      </c>
      <c r="C95" s="17">
        <f>B95+(B95*0.03)</f>
        <v>27758.888116097838</v>
      </c>
      <c r="D95" s="17">
        <f>B95/3250</f>
        <v>8.2924236343832227</v>
      </c>
      <c r="E95" s="28">
        <f>(C95-B95)/D95</f>
        <v>97.499999999999901</v>
      </c>
      <c r="F95" s="26"/>
      <c r="G95" s="33"/>
      <c r="H95" s="19">
        <f>D95*50/B95</f>
        <v>1.5384615384615384E-2</v>
      </c>
    </row>
    <row r="96" spans="1:8" s="1" customFormat="1">
      <c r="A96" s="15">
        <f>A95+7</f>
        <v>43401</v>
      </c>
      <c r="B96" s="20">
        <f>C95+F95-G95</f>
        <v>27758.888116097838</v>
      </c>
      <c r="C96" s="17">
        <f>B96+(B96*0.03)</f>
        <v>28591.654759580771</v>
      </c>
      <c r="D96" s="17">
        <f>B96/3250</f>
        <v>8.54119634341472</v>
      </c>
      <c r="E96" s="28">
        <f>(C96-B96)/D96</f>
        <v>97.499999999999787</v>
      </c>
      <c r="F96" s="26"/>
      <c r="G96" s="33"/>
      <c r="H96" s="19">
        <f>D96*50/B96</f>
        <v>1.5384615384615385E-2</v>
      </c>
    </row>
    <row r="97" spans="1:8" s="1" customFormat="1" ht="13" thickBot="1">
      <c r="A97" s="15">
        <f>A96+7</f>
        <v>43408</v>
      </c>
      <c r="B97" s="20">
        <f>C96+F96-G96</f>
        <v>28591.654759580771</v>
      </c>
      <c r="C97" s="17">
        <f>B97+(B97*0.03)</f>
        <v>29449.404402368196</v>
      </c>
      <c r="D97" s="17">
        <f>B97/3250</f>
        <v>8.79743223371716</v>
      </c>
      <c r="E97" s="28">
        <f>(C97-B97)/D97</f>
        <v>97.500000000000199</v>
      </c>
      <c r="F97" s="26"/>
      <c r="G97" s="33"/>
      <c r="H97" s="19">
        <f>D97*50/B97</f>
        <v>1.5384615384615384E-2</v>
      </c>
    </row>
    <row r="98" spans="1:8" ht="13" thickBot="1">
      <c r="A98" s="13"/>
      <c r="B98" s="22"/>
      <c r="C98" s="23"/>
      <c r="D98" s="23"/>
      <c r="E98" s="27"/>
      <c r="F98" s="30"/>
      <c r="G98" s="10"/>
      <c r="H98" s="24"/>
    </row>
    <row r="99" spans="1:8" s="1" customFormat="1">
      <c r="A99" s="15">
        <f>A97+7</f>
        <v>43415</v>
      </c>
      <c r="B99" s="20">
        <f>C97+F97-G97</f>
        <v>29449.404402368196</v>
      </c>
      <c r="C99" s="17">
        <f>B99+(B99*0.03)</f>
        <v>30332.886534439243</v>
      </c>
      <c r="D99" s="17">
        <f>B99/3250</f>
        <v>9.0613552007286753</v>
      </c>
      <c r="E99" s="28">
        <f>(C99-B99)/D99</f>
        <v>97.500000000000142</v>
      </c>
      <c r="F99" s="26"/>
      <c r="G99" s="33"/>
      <c r="H99" s="19">
        <f>D99*50/B99</f>
        <v>1.5384615384615384E-2</v>
      </c>
    </row>
    <row r="100" spans="1:8" s="1" customFormat="1">
      <c r="A100" s="15">
        <f>A99+7</f>
        <v>43422</v>
      </c>
      <c r="B100" s="20">
        <f>C99+F99-G99</f>
        <v>30332.886534439243</v>
      </c>
      <c r="C100" s="17">
        <f>B100+(B100*0.03)</f>
        <v>31242.873130472421</v>
      </c>
      <c r="D100" s="17">
        <f>B100/3250</f>
        <v>9.3331958567505371</v>
      </c>
      <c r="E100" s="28">
        <f>(C100-B100)/D100</f>
        <v>97.499999999999986</v>
      </c>
      <c r="F100" s="26"/>
      <c r="G100" s="33"/>
      <c r="H100" s="19">
        <f>D100*50/B100</f>
        <v>1.5384615384615387E-2</v>
      </c>
    </row>
    <row r="101" spans="1:8" s="1" customFormat="1">
      <c r="A101" s="15">
        <f>A100+7</f>
        <v>43429</v>
      </c>
      <c r="B101" s="20">
        <f>C100+F100-G100</f>
        <v>31242.873130472421</v>
      </c>
      <c r="C101" s="17">
        <f>B101+(B101*0.03)</f>
        <v>32180.159324386594</v>
      </c>
      <c r="D101" s="17">
        <f>B101/3250</f>
        <v>9.6131917324530534</v>
      </c>
      <c r="E101" s="28">
        <f>(C101-B101)/D101</f>
        <v>97.500000000000043</v>
      </c>
      <c r="F101" s="26"/>
      <c r="G101" s="33"/>
      <c r="H101" s="19">
        <f>D101*50/B101</f>
        <v>1.5384615384615387E-2</v>
      </c>
    </row>
    <row r="102" spans="1:8" s="1" customFormat="1" ht="13" thickBot="1">
      <c r="A102" s="15">
        <f>A101+7</f>
        <v>43436</v>
      </c>
      <c r="B102" s="20">
        <f>C101+F101-G101</f>
        <v>32180.159324386594</v>
      </c>
      <c r="C102" s="17">
        <f>B102+(B102*0.03)</f>
        <v>33145.564104118188</v>
      </c>
      <c r="D102" s="17">
        <f>B102/3250</f>
        <v>9.9015874844266438</v>
      </c>
      <c r="E102" s="28">
        <f>(C102-B102)/D102</f>
        <v>97.499999999999645</v>
      </c>
      <c r="F102" s="26"/>
      <c r="G102" s="33"/>
      <c r="H102" s="19">
        <f>D102*50/B102</f>
        <v>1.5384615384615385E-2</v>
      </c>
    </row>
    <row r="103" spans="1:8" ht="13" thickBot="1">
      <c r="A103" s="13"/>
      <c r="B103" s="22"/>
      <c r="C103" s="23"/>
      <c r="D103" s="23"/>
      <c r="E103" s="27"/>
      <c r="F103" s="30"/>
      <c r="G103" s="10"/>
      <c r="H103" s="24"/>
    </row>
    <row r="104" spans="1:8" s="1" customFormat="1">
      <c r="A104" s="15">
        <f>A102+7</f>
        <v>43443</v>
      </c>
      <c r="B104" s="20">
        <f>C102+F102-G102</f>
        <v>33145.564104118188</v>
      </c>
      <c r="C104" s="17">
        <f>B104+(B104*0.03)</f>
        <v>34139.931027241735</v>
      </c>
      <c r="D104" s="17">
        <f>B104/3250</f>
        <v>10.198635108959442</v>
      </c>
      <c r="E104" s="28">
        <f>(C104-B104)/D104</f>
        <v>97.500000000000156</v>
      </c>
      <c r="F104" s="26"/>
      <c r="G104" s="33"/>
      <c r="H104" s="19">
        <f>D104*50/B104</f>
        <v>1.5384615384615384E-2</v>
      </c>
    </row>
    <row r="105" spans="1:8" s="1" customFormat="1">
      <c r="A105" s="15">
        <f>A104+7</f>
        <v>43450</v>
      </c>
      <c r="B105" s="20">
        <f>C104+F104-G104</f>
        <v>34139.931027241735</v>
      </c>
      <c r="C105" s="17">
        <f>B105+(B105*0.03)</f>
        <v>35164.128958058987</v>
      </c>
      <c r="D105" s="17">
        <f>B105/3250</f>
        <v>10.504594162228226</v>
      </c>
      <c r="E105" s="28">
        <f>(C105-B105)/D105</f>
        <v>97.500000000000014</v>
      </c>
      <c r="F105" s="26"/>
      <c r="G105" s="33"/>
      <c r="H105" s="19">
        <f>D105*50/B105</f>
        <v>1.5384615384615385E-2</v>
      </c>
    </row>
    <row r="106" spans="1:8" s="1" customFormat="1">
      <c r="A106" s="15">
        <f>A105+7</f>
        <v>43457</v>
      </c>
      <c r="B106" s="20">
        <f>C105+F105-G105</f>
        <v>35164.128958058987</v>
      </c>
      <c r="C106" s="17">
        <f>B106+(B106*0.03)</f>
        <v>36219.052826800755</v>
      </c>
      <c r="D106" s="17">
        <f>B106/3250</f>
        <v>10.819731987095073</v>
      </c>
      <c r="E106" s="28">
        <f>(C106-B106)/D106</f>
        <v>97.499999999999787</v>
      </c>
      <c r="F106" s="26"/>
      <c r="G106" s="33"/>
      <c r="H106" s="19">
        <f>D106*50/B106</f>
        <v>1.5384615384615385E-2</v>
      </c>
    </row>
    <row r="107" spans="1:8" s="1" customFormat="1" ht="13" thickBot="1">
      <c r="A107" s="15">
        <f>A106+7</f>
        <v>43464</v>
      </c>
      <c r="B107" s="20">
        <f>C106+F106-G106</f>
        <v>36219.052826800755</v>
      </c>
      <c r="C107" s="17">
        <f>B107+(B107*0.03)</f>
        <v>37305.624411604775</v>
      </c>
      <c r="D107" s="17">
        <f>B107/3250</f>
        <v>11.144323946707924</v>
      </c>
      <c r="E107" s="28">
        <f>(C107-B107)/D107</f>
        <v>97.499999999999758</v>
      </c>
      <c r="F107" s="26"/>
      <c r="G107" s="33"/>
      <c r="H107" s="19">
        <f>D107*50/B107</f>
        <v>1.5384615384615385E-2</v>
      </c>
    </row>
    <row r="108" spans="1:8" ht="13" thickBot="1">
      <c r="A108" s="13"/>
      <c r="B108" s="22"/>
      <c r="C108" s="23"/>
      <c r="D108" s="23"/>
      <c r="E108" s="27"/>
      <c r="F108" s="30"/>
      <c r="G108" s="10"/>
      <c r="H108" s="24"/>
    </row>
    <row r="109" spans="1:8" s="1" customFormat="1">
      <c r="A109" s="15">
        <f>A107+7</f>
        <v>43471</v>
      </c>
      <c r="B109" s="20">
        <f>C107+F107-G107</f>
        <v>37305.624411604775</v>
      </c>
      <c r="C109" s="17">
        <f>B109+(B109*0.03)</f>
        <v>38424.79314395292</v>
      </c>
      <c r="D109" s="17">
        <f>B109/3250</f>
        <v>11.478653665109162</v>
      </c>
      <c r="E109" s="28">
        <f>(C109-B109)/D109</f>
        <v>97.500000000000199</v>
      </c>
      <c r="F109" s="26"/>
      <c r="G109" s="33"/>
      <c r="H109" s="19">
        <f>D109*50/B109</f>
        <v>1.5384615384615385E-2</v>
      </c>
    </row>
    <row r="110" spans="1:8">
      <c r="A110" s="15">
        <f>A109+7</f>
        <v>43478</v>
      </c>
      <c r="B110" s="20">
        <f>C109+F109-G109</f>
        <v>38424.79314395292</v>
      </c>
      <c r="C110" s="17">
        <f>B110+(B110*0.03)</f>
        <v>39577.536938271507</v>
      </c>
      <c r="D110" s="17">
        <f>B110/3250</f>
        <v>11.823013275062436</v>
      </c>
      <c r="E110" s="28">
        <f>(C110-B110)/D110</f>
        <v>97.499999999999943</v>
      </c>
      <c r="F110" s="26"/>
      <c r="G110" s="33"/>
      <c r="H110" s="19">
        <f>D110*50/B110</f>
        <v>1.5384615384615382E-2</v>
      </c>
    </row>
    <row r="111" spans="1:8">
      <c r="A111" s="15">
        <f>A110+7</f>
        <v>43485</v>
      </c>
      <c r="B111" s="20">
        <f>C110+F110-G110</f>
        <v>39577.536938271507</v>
      </c>
      <c r="C111" s="17">
        <f>B111+(B111*0.03)</f>
        <v>40764.863046419654</v>
      </c>
      <c r="D111" s="17">
        <f>B111/3250</f>
        <v>12.17770367331431</v>
      </c>
      <c r="E111" s="28">
        <f>(C111-B111)/D111</f>
        <v>97.500000000000128</v>
      </c>
      <c r="F111" s="26"/>
      <c r="G111" s="33"/>
      <c r="H111" s="19">
        <f>D111*50/B111</f>
        <v>1.5384615384615385E-2</v>
      </c>
    </row>
    <row r="112" spans="1:8" ht="13" thickBot="1">
      <c r="A112" s="15">
        <f>A111+7</f>
        <v>43492</v>
      </c>
      <c r="B112" s="20">
        <f>C111+F111-G111</f>
        <v>40764.863046419654</v>
      </c>
      <c r="C112" s="17">
        <f>B112+(B112*0.03)</f>
        <v>41987.808937812246</v>
      </c>
      <c r="D112" s="17">
        <f>B112/3250</f>
        <v>12.54303478351374</v>
      </c>
      <c r="E112" s="28">
        <f>(C112-B112)/D112</f>
        <v>97.500000000000185</v>
      </c>
      <c r="F112" s="26"/>
      <c r="G112" s="33"/>
      <c r="H112" s="19">
        <f>D112*50/B112</f>
        <v>1.5384615384615385E-2</v>
      </c>
    </row>
    <row r="113" spans="1:8" ht="13" thickBot="1">
      <c r="A113" s="13"/>
      <c r="B113" s="22"/>
      <c r="C113" s="23"/>
      <c r="D113" s="23"/>
      <c r="E113" s="27"/>
      <c r="F113" s="30"/>
      <c r="G113" s="10"/>
      <c r="H113" s="24"/>
    </row>
    <row r="114" spans="1:8">
      <c r="A114" s="15">
        <f>A112+7</f>
        <v>43499</v>
      </c>
      <c r="B114" s="20">
        <f>C112+F112-G112</f>
        <v>41987.808937812246</v>
      </c>
      <c r="C114" s="17">
        <f>B114+(B114*0.03)</f>
        <v>43247.443205946613</v>
      </c>
      <c r="D114" s="17">
        <f>B114/3250</f>
        <v>12.919325827019152</v>
      </c>
      <c r="E114" s="28">
        <f>(C114-B114)/D114</f>
        <v>97.499999999999957</v>
      </c>
      <c r="F114" s="26"/>
      <c r="G114" s="33"/>
      <c r="H114" s="19">
        <f>D114*50/B114</f>
        <v>1.5384615384615384E-2</v>
      </c>
    </row>
    <row r="115" spans="1:8">
      <c r="A115" s="15">
        <f>A114+7</f>
        <v>43506</v>
      </c>
      <c r="B115" s="20">
        <f>C114+F114-G114</f>
        <v>43247.443205946613</v>
      </c>
      <c r="C115" s="17">
        <f>B115+(B115*0.03)</f>
        <v>44544.866502125013</v>
      </c>
      <c r="D115" s="17">
        <f>B115/3250</f>
        <v>13.306905601829728</v>
      </c>
      <c r="E115" s="28">
        <f>(C115-B115)/D115</f>
        <v>97.500000000000114</v>
      </c>
      <c r="F115" s="26"/>
      <c r="G115" s="33"/>
      <c r="H115" s="19">
        <f>D115*50/B115</f>
        <v>1.5384615384615385E-2</v>
      </c>
    </row>
    <row r="116" spans="1:8">
      <c r="A116" s="15">
        <f>A115+7</f>
        <v>43513</v>
      </c>
      <c r="B116" s="20">
        <f>C115+F115-G115</f>
        <v>44544.866502125013</v>
      </c>
      <c r="C116" s="17">
        <f>B116+(B116*0.03)</f>
        <v>45881.212497188761</v>
      </c>
      <c r="D116" s="17">
        <f>B116/3250</f>
        <v>13.706112769884619</v>
      </c>
      <c r="E116" s="28">
        <f>(C116-B116)/D116</f>
        <v>97.499999999999829</v>
      </c>
      <c r="F116" s="26"/>
      <c r="G116" s="33"/>
      <c r="H116" s="19">
        <f>D116*50/B116</f>
        <v>1.5384615384615384E-2</v>
      </c>
    </row>
    <row r="117" spans="1:8" ht="13" thickBot="1">
      <c r="A117" s="15">
        <f>A116+7</f>
        <v>43520</v>
      </c>
      <c r="B117" s="20">
        <f>C116+F116-G116</f>
        <v>45881.212497188761</v>
      </c>
      <c r="C117" s="17">
        <f>B117+(B117*0.03)</f>
        <v>47257.648872104422</v>
      </c>
      <c r="D117" s="17">
        <f>B117/3250</f>
        <v>14.117296152981156</v>
      </c>
      <c r="E117" s="28">
        <f>(C117-B117)/D117</f>
        <v>97.499999999999943</v>
      </c>
      <c r="F117" s="26"/>
      <c r="G117" s="33"/>
      <c r="H117" s="19">
        <f>D117*50/B117</f>
        <v>1.5384615384615385E-2</v>
      </c>
    </row>
    <row r="118" spans="1:8" ht="13" thickBot="1">
      <c r="A118" s="13"/>
      <c r="B118" s="22"/>
      <c r="C118" s="23"/>
      <c r="D118" s="23"/>
      <c r="E118" s="27"/>
      <c r="F118" s="30"/>
      <c r="G118" s="10"/>
      <c r="H118" s="24"/>
    </row>
    <row r="119" spans="1:8">
      <c r="A119" s="15">
        <f>A117+7</f>
        <v>43527</v>
      </c>
      <c r="B119" s="20">
        <f>C117+F117-G117</f>
        <v>47257.648872104422</v>
      </c>
      <c r="C119" s="17">
        <f>B119+(B119*0.03)</f>
        <v>48675.378338267554</v>
      </c>
      <c r="D119" s="17">
        <f>B119/3250</f>
        <v>14.540815037570592</v>
      </c>
      <c r="E119" s="28">
        <f>(C119-B119)/D119</f>
        <v>97.499999999999901</v>
      </c>
      <c r="F119" s="26"/>
      <c r="G119" s="33"/>
      <c r="H119" s="19">
        <f>D119*50/B119</f>
        <v>1.5384615384615385E-2</v>
      </c>
    </row>
    <row r="120" spans="1:8">
      <c r="A120" s="15">
        <f>A119+7</f>
        <v>43534</v>
      </c>
      <c r="B120" s="20">
        <f>C119+F119-G119</f>
        <v>48675.378338267554</v>
      </c>
      <c r="C120" s="17">
        <f>B120+(B120*0.03)</f>
        <v>50135.639688415584</v>
      </c>
      <c r="D120" s="17">
        <f>B120/3250</f>
        <v>14.977039488697709</v>
      </c>
      <c r="E120" s="28">
        <f>(C120-B120)/D120</f>
        <v>97.500000000000227</v>
      </c>
      <c r="F120" s="26"/>
      <c r="G120" s="33"/>
      <c r="H120" s="19">
        <f>D120*50/B120</f>
        <v>1.5384615384615385E-2</v>
      </c>
    </row>
    <row r="121" spans="1:8">
      <c r="A121" s="15">
        <f>A120+7</f>
        <v>43541</v>
      </c>
      <c r="B121" s="20">
        <f>C120+F120-G120</f>
        <v>50135.639688415584</v>
      </c>
      <c r="C121" s="17">
        <f>B121+(B121*0.03)</f>
        <v>51639.70887906805</v>
      </c>
      <c r="D121" s="17">
        <f>B121/3250</f>
        <v>15.426350673358641</v>
      </c>
      <c r="E121" s="28">
        <f>(C121-B121)/D121</f>
        <v>97.499999999999915</v>
      </c>
      <c r="F121" s="26"/>
      <c r="G121" s="33"/>
      <c r="H121" s="19">
        <f>D121*50/B121</f>
        <v>1.5384615384615384E-2</v>
      </c>
    </row>
    <row r="122" spans="1:8" ht="13" thickBot="1">
      <c r="A122" s="15">
        <f>A121+7</f>
        <v>43548</v>
      </c>
      <c r="B122" s="20">
        <f>C121+F121-G121</f>
        <v>51639.70887906805</v>
      </c>
      <c r="C122" s="17">
        <f>B122+(B122*0.03)</f>
        <v>53188.900145440093</v>
      </c>
      <c r="D122" s="17">
        <f>B122/3250</f>
        <v>15.8891411935594</v>
      </c>
      <c r="E122" s="28">
        <f>(C122-B122)/D122</f>
        <v>97.500000000000099</v>
      </c>
      <c r="F122" s="26"/>
      <c r="G122" s="33"/>
      <c r="H122" s="19">
        <f>D122*50/B122</f>
        <v>1.5384615384615385E-2</v>
      </c>
    </row>
    <row r="123" spans="1:8" ht="13" thickBot="1">
      <c r="A123" s="13"/>
      <c r="B123" s="22"/>
      <c r="C123" s="23"/>
      <c r="D123" s="23"/>
      <c r="E123" s="27"/>
      <c r="F123" s="30"/>
      <c r="G123" s="10"/>
      <c r="H123" s="24"/>
    </row>
    <row r="124" spans="1:8">
      <c r="A124" s="15">
        <f>A122+7</f>
        <v>43555</v>
      </c>
      <c r="B124" s="20">
        <f>C122+F122-G122</f>
        <v>53188.900145440093</v>
      </c>
      <c r="C124" s="17">
        <f>B124+(B124*0.03)</f>
        <v>54784.567149803297</v>
      </c>
      <c r="D124" s="17">
        <f>B124/3250</f>
        <v>16.365815429366183</v>
      </c>
      <c r="E124" s="28">
        <f>(C124-B124)/D124</f>
        <v>97.500000000000057</v>
      </c>
      <c r="F124" s="26"/>
      <c r="G124" s="33"/>
      <c r="H124" s="19">
        <f>D124*50/B124</f>
        <v>1.5384615384615384E-2</v>
      </c>
    </row>
    <row r="125" spans="1:8">
      <c r="A125" s="15">
        <f>A124+7</f>
        <v>43562</v>
      </c>
      <c r="B125" s="20">
        <f>C124+F124-G124</f>
        <v>54784.567149803297</v>
      </c>
      <c r="C125" s="17">
        <f>B125+(B125*0.03)</f>
        <v>56428.104164297394</v>
      </c>
      <c r="D125" s="17">
        <f>B125/3250</f>
        <v>16.856789892247168</v>
      </c>
      <c r="E125" s="28">
        <f>(C125-B125)/D125</f>
        <v>97.499999999999901</v>
      </c>
      <c r="F125" s="26"/>
      <c r="G125" s="33"/>
      <c r="H125" s="19">
        <f>D125*50/B125</f>
        <v>1.5384615384615384E-2</v>
      </c>
    </row>
    <row r="126" spans="1:8">
      <c r="A126" s="15">
        <f>A125+7</f>
        <v>43569</v>
      </c>
      <c r="B126" s="20">
        <f>C125+F125-G125</f>
        <v>56428.104164297394</v>
      </c>
      <c r="C126" s="17">
        <f>B126+(B126*0.03)</f>
        <v>58120.947289226315</v>
      </c>
      <c r="D126" s="17">
        <f>B126/3250</f>
        <v>17.362493589014584</v>
      </c>
      <c r="E126" s="28">
        <f>(C126-B126)/D126</f>
        <v>97.499999999999929</v>
      </c>
      <c r="F126" s="26"/>
      <c r="G126" s="33"/>
      <c r="H126" s="19">
        <f>D126*50/B126</f>
        <v>1.5384615384615385E-2</v>
      </c>
    </row>
    <row r="127" spans="1:8" ht="13" thickBot="1">
      <c r="A127" s="15">
        <f>A126+7</f>
        <v>43576</v>
      </c>
      <c r="B127" s="20">
        <f>C126+F126-G126</f>
        <v>58120.947289226315</v>
      </c>
      <c r="C127" s="17">
        <f>B127+(B127*0.03)</f>
        <v>59864.575707903103</v>
      </c>
      <c r="D127" s="17">
        <f>B127/3250</f>
        <v>17.883368396685022</v>
      </c>
      <c r="E127" s="28">
        <f>(C127-B127)/D127</f>
        <v>97.499999999999915</v>
      </c>
      <c r="F127" s="26"/>
      <c r="G127" s="33"/>
      <c r="H127" s="19">
        <f>D127*50/B127</f>
        <v>1.5384615384615385E-2</v>
      </c>
    </row>
    <row r="128" spans="1:8" ht="13" thickBot="1">
      <c r="A128" s="13"/>
      <c r="B128" s="22"/>
      <c r="C128" s="23"/>
      <c r="D128" s="23"/>
      <c r="E128" s="27"/>
      <c r="F128" s="30"/>
      <c r="G128" s="10"/>
      <c r="H128" s="24"/>
    </row>
    <row r="129" spans="1:8">
      <c r="A129" s="15">
        <f>A127+7</f>
        <v>43583</v>
      </c>
      <c r="B129" s="20">
        <f>C127+F127-G127</f>
        <v>59864.575707903103</v>
      </c>
      <c r="C129" s="17">
        <f>B129+(B129*0.03)</f>
        <v>61660.512979140192</v>
      </c>
      <c r="D129" s="17">
        <f>B129/3250</f>
        <v>18.419869448585569</v>
      </c>
      <c r="E129" s="28">
        <f>(C129-B129)/D129</f>
        <v>97.499999999999815</v>
      </c>
      <c r="F129" s="26"/>
      <c r="G129" s="33"/>
      <c r="H129" s="19">
        <f>D129*50/B129</f>
        <v>1.5384615384615384E-2</v>
      </c>
    </row>
    <row r="130" spans="1:8">
      <c r="A130" s="15">
        <f>A129+7</f>
        <v>43590</v>
      </c>
      <c r="B130" s="20">
        <f>C129+F129-G129</f>
        <v>61660.512979140192</v>
      </c>
      <c r="C130" s="17">
        <f>B130+(B130*0.03)</f>
        <v>63510.328368514398</v>
      </c>
      <c r="D130" s="17">
        <f>B130/3250</f>
        <v>18.972465532043135</v>
      </c>
      <c r="E130" s="28">
        <f>(C130-B130)/D130</f>
        <v>97.5</v>
      </c>
      <c r="F130" s="26"/>
      <c r="G130" s="33"/>
      <c r="H130" s="19">
        <f>D130*50/B130</f>
        <v>1.5384615384615382E-2</v>
      </c>
    </row>
    <row r="131" spans="1:8">
      <c r="A131" s="15">
        <f>A130+7</f>
        <v>43597</v>
      </c>
      <c r="B131" s="20">
        <f>C130+F130-G130</f>
        <v>63510.328368514398</v>
      </c>
      <c r="C131" s="17">
        <f>B131+(B131*0.03)</f>
        <v>65415.638219569832</v>
      </c>
      <c r="D131" s="17">
        <f>B131/3250</f>
        <v>19.541639498004429</v>
      </c>
      <c r="E131" s="28">
        <f>(C131-B131)/D131</f>
        <v>97.500000000000099</v>
      </c>
      <c r="F131" s="26"/>
      <c r="G131" s="33"/>
      <c r="H131" s="19">
        <f>D131*50/B131</f>
        <v>1.5384615384615384E-2</v>
      </c>
    </row>
    <row r="132" spans="1:8" ht="13" thickBot="1">
      <c r="A132" s="15">
        <f>A131+7</f>
        <v>43604</v>
      </c>
      <c r="B132" s="20">
        <f>C131+F131-G131</f>
        <v>65415.638219569832</v>
      </c>
      <c r="C132" s="17">
        <f>B132+(B132*0.03)</f>
        <v>67378.107366156924</v>
      </c>
      <c r="D132" s="17">
        <f>B132/3250</f>
        <v>20.127888682944562</v>
      </c>
      <c r="E132" s="28">
        <f>(C132-B132)/D132</f>
        <v>97.499999999999901</v>
      </c>
      <c r="F132" s="26"/>
      <c r="G132" s="33"/>
      <c r="H132" s="19">
        <f>D132*50/B132</f>
        <v>1.5384615384615384E-2</v>
      </c>
    </row>
    <row r="133" spans="1:8" ht="13" thickBot="1">
      <c r="A133" s="13"/>
      <c r="B133" s="22"/>
      <c r="C133" s="23"/>
      <c r="D133" s="23"/>
      <c r="E133" s="27"/>
      <c r="F133" s="30"/>
      <c r="G133" s="10"/>
      <c r="H133" s="24"/>
    </row>
    <row r="134" spans="1:8">
      <c r="A134" s="15">
        <f>A132+7</f>
        <v>43611</v>
      </c>
      <c r="B134" s="20">
        <f>C132+F132-G132</f>
        <v>67378.107366156924</v>
      </c>
      <c r="C134" s="17">
        <f>B134+(B134*0.03)</f>
        <v>69399.450587141633</v>
      </c>
      <c r="D134" s="17">
        <f>B134/3250</f>
        <v>20.731725343432899</v>
      </c>
      <c r="E134" s="28">
        <f>(C134-B134)/D134</f>
        <v>97.500000000000057</v>
      </c>
      <c r="F134" s="26"/>
      <c r="G134" s="33"/>
      <c r="H134" s="19">
        <f>D134*50/B134</f>
        <v>1.5384615384615384E-2</v>
      </c>
    </row>
    <row r="135" spans="1:8">
      <c r="A135" s="15">
        <f>A134+7</f>
        <v>43618</v>
      </c>
      <c r="B135" s="20">
        <f>C134+F134-G134</f>
        <v>69399.450587141633</v>
      </c>
      <c r="C135" s="17">
        <f>B135+(B135*0.03)</f>
        <v>71481.434104755885</v>
      </c>
      <c r="D135" s="17">
        <f>B135/3250</f>
        <v>21.353677103735887</v>
      </c>
      <c r="E135" s="28">
        <f>(C135-B135)/D135</f>
        <v>97.500000000000114</v>
      </c>
      <c r="F135" s="26"/>
      <c r="G135" s="33"/>
      <c r="H135" s="19">
        <f>D135*50/B135</f>
        <v>1.5384615384615384E-2</v>
      </c>
    </row>
    <row r="136" spans="1:8">
      <c r="A136" s="15">
        <f>A135+7</f>
        <v>43625</v>
      </c>
      <c r="B136" s="20">
        <f>C135+F135-G135</f>
        <v>71481.434104755885</v>
      </c>
      <c r="C136" s="17">
        <f>B136+(B136*0.03)</f>
        <v>73625.877127898566</v>
      </c>
      <c r="D136" s="17">
        <f>B136/3250</f>
        <v>21.994287416847964</v>
      </c>
      <c r="E136" s="28">
        <f>(C136-B136)/D136</f>
        <v>97.500000000000213</v>
      </c>
      <c r="F136" s="26"/>
      <c r="G136" s="33"/>
      <c r="H136" s="19">
        <f>D136*50/B136</f>
        <v>1.5384615384615385E-2</v>
      </c>
    </row>
    <row r="137" spans="1:8">
      <c r="A137" s="15">
        <f>A136+7</f>
        <v>43632</v>
      </c>
      <c r="B137" s="20">
        <f>C136+F136-G136</f>
        <v>73625.877127898566</v>
      </c>
      <c r="C137" s="17">
        <f>B137+(B137*0.03)</f>
        <v>75834.653441735529</v>
      </c>
      <c r="D137" s="17">
        <f>B137/3250</f>
        <v>22.654116039353404</v>
      </c>
      <c r="E137" s="28">
        <f>(C137-B137)/D137</f>
        <v>97.500000000000256</v>
      </c>
      <c r="F137" s="26"/>
      <c r="G137" s="33"/>
      <c r="H137" s="19">
        <f>D137*50/B137</f>
        <v>1.5384615384615384E-2</v>
      </c>
    </row>
    <row r="138" spans="1:8" ht="14.25" customHeight="1" thickBot="1">
      <c r="A138" s="15">
        <f>A137+7</f>
        <v>43639</v>
      </c>
      <c r="B138" s="20">
        <f>C137+F137-G137</f>
        <v>75834.653441735529</v>
      </c>
      <c r="C138" s="17">
        <f>B138+(B138*0.03)</f>
        <v>78109.693044987594</v>
      </c>
      <c r="D138" s="17">
        <f>B138/3250</f>
        <v>23.33373952053401</v>
      </c>
      <c r="E138" s="28">
        <f>(C138-B138)/D138</f>
        <v>97.499999999999986</v>
      </c>
      <c r="F138" s="26"/>
      <c r="G138" s="33"/>
      <c r="H138" s="19">
        <f>D138*50/B138</f>
        <v>1.5384615384615385E-2</v>
      </c>
    </row>
    <row r="139" spans="1:8" ht="13" thickBot="1">
      <c r="A139" s="13"/>
      <c r="B139" s="22"/>
      <c r="C139" s="23"/>
      <c r="D139" s="23"/>
      <c r="E139" s="27"/>
      <c r="F139" s="30"/>
      <c r="G139" s="10"/>
      <c r="H139" s="24"/>
    </row>
  </sheetData>
  <mergeCells count="1">
    <mergeCell ref="A1:H1"/>
  </mergeCells>
  <pageMargins left="0.7" right="0.7" top="0.75" bottom="0.75" header="0.3" footer="0.3"/>
  <pageSetup paperSize="9" orientation="portrait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178"/>
  <sheetViews>
    <sheetView workbookViewId="0">
      <selection activeCell="K17" sqref="K17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1" width="61.6328125" style="75" bestFit="1" customWidth="1"/>
    <col min="12" max="16384" width="9.1796875" style="75"/>
  </cols>
  <sheetData>
    <row r="1" spans="1:10" ht="13.5" thickBot="1">
      <c r="B1" s="106"/>
      <c r="C1" s="107"/>
      <c r="D1" s="107"/>
      <c r="E1" s="107"/>
      <c r="F1" s="107"/>
      <c r="G1" s="107"/>
      <c r="H1" s="107"/>
      <c r="I1" s="107"/>
      <c r="J1" s="88"/>
    </row>
    <row r="2" spans="1:10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0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0">
      <c r="A4" s="103">
        <v>1</v>
      </c>
      <c r="B4" s="81">
        <v>43114</v>
      </c>
      <c r="C4" s="20">
        <v>1500</v>
      </c>
      <c r="D4" s="17">
        <f>C4+(C4*0.03)</f>
        <v>1545</v>
      </c>
      <c r="E4" s="17">
        <f>C4/3250</f>
        <v>0.46153846153846156</v>
      </c>
      <c r="F4" s="28">
        <f>(D4-C4)/E4</f>
        <v>97.5</v>
      </c>
      <c r="G4" s="18"/>
      <c r="H4" s="18"/>
      <c r="I4" s="19">
        <f>E4*50/C4</f>
        <v>1.5384615384615384E-2</v>
      </c>
      <c r="J4" s="90"/>
    </row>
    <row r="5" spans="1:10">
      <c r="A5" s="104"/>
      <c r="B5" s="81">
        <f>B4+7</f>
        <v>43121</v>
      </c>
      <c r="C5" s="20">
        <f>D4+G4-H4</f>
        <v>1545</v>
      </c>
      <c r="D5" s="17">
        <f>C5+(C5*0.03)</f>
        <v>1591.35</v>
      </c>
      <c r="E5" s="17">
        <f>C5/3250</f>
        <v>0.47538461538461541</v>
      </c>
      <c r="F5" s="28">
        <f>(D5-C5)/E5</f>
        <v>97.499999999999801</v>
      </c>
      <c r="G5" s="18"/>
      <c r="H5" s="18"/>
      <c r="I5" s="19">
        <f>E5*50/C5</f>
        <v>1.5384615384615385E-2</v>
      </c>
      <c r="J5" s="87"/>
    </row>
    <row r="6" spans="1:10">
      <c r="A6" s="104"/>
      <c r="B6" s="81">
        <f>B5+7</f>
        <v>43128</v>
      </c>
      <c r="C6" s="20">
        <f>D5+G5-H5</f>
        <v>1591.35</v>
      </c>
      <c r="D6" s="17">
        <f>C6+(C6*0.03)</f>
        <v>1639.0904999999998</v>
      </c>
      <c r="E6" s="17">
        <f>C6/3250</f>
        <v>0.48964615384615384</v>
      </c>
      <c r="F6" s="28">
        <f>(D6-C6)/E6</f>
        <v>97.499999999999758</v>
      </c>
      <c r="G6" s="18"/>
      <c r="H6" s="18"/>
      <c r="I6" s="19">
        <f>E6*50/C6</f>
        <v>1.5384615384615385E-2</v>
      </c>
      <c r="J6" s="87"/>
    </row>
    <row r="7" spans="1:10" ht="13" thickBot="1">
      <c r="A7" s="105"/>
      <c r="B7" s="81">
        <f>B6+7</f>
        <v>43135</v>
      </c>
      <c r="C7" s="20">
        <f>D6+G6-H6</f>
        <v>1639.0904999999998</v>
      </c>
      <c r="D7" s="17">
        <f>C7+(C7*0.03)</f>
        <v>1688.2632149999997</v>
      </c>
      <c r="E7" s="17">
        <f>C7/3250</f>
        <v>0.50433553846153845</v>
      </c>
      <c r="F7" s="28">
        <f>(D7-C7)/E7</f>
        <v>97.499999999999858</v>
      </c>
      <c r="G7" s="18"/>
      <c r="H7" s="18"/>
      <c r="I7" s="19">
        <f>E7*50/C7</f>
        <v>1.5384615384615385E-2</v>
      </c>
      <c r="J7" s="87"/>
    </row>
    <row r="8" spans="1:10" ht="13" thickBot="1">
      <c r="A8" s="78"/>
      <c r="B8" s="13"/>
      <c r="C8" s="22"/>
      <c r="D8" s="23"/>
      <c r="E8" s="23"/>
      <c r="F8" s="27"/>
      <c r="G8" s="23"/>
      <c r="H8" s="10"/>
      <c r="I8" s="24"/>
      <c r="J8" s="91"/>
    </row>
    <row r="9" spans="1:10">
      <c r="A9" s="103">
        <v>2</v>
      </c>
      <c r="B9" s="81">
        <f>B7+7</f>
        <v>43142</v>
      </c>
      <c r="C9" s="20">
        <f>D7+G7-H7</f>
        <v>1688.2632149999997</v>
      </c>
      <c r="D9" s="17">
        <f>C9+(C9*0.03)</f>
        <v>1738.9111114499997</v>
      </c>
      <c r="E9" s="17">
        <f>C9/3250</f>
        <v>0.51946560461538449</v>
      </c>
      <c r="F9" s="28">
        <f>(D9-C9)/E9</f>
        <v>97.499999999999943</v>
      </c>
      <c r="G9" s="18"/>
      <c r="H9" s="18"/>
      <c r="I9" s="19">
        <f>E9*50/C9</f>
        <v>1.5384615384615382E-2</v>
      </c>
      <c r="J9" s="87"/>
    </row>
    <row r="10" spans="1:10">
      <c r="A10" s="104"/>
      <c r="B10" s="81">
        <f>B9+7</f>
        <v>43149</v>
      </c>
      <c r="C10" s="20">
        <f>D9+G9-H9</f>
        <v>1738.9111114499997</v>
      </c>
      <c r="D10" s="17">
        <f>C10+(C10*0.03)</f>
        <v>1791.0784447934998</v>
      </c>
      <c r="E10" s="17">
        <f>C10/3250</f>
        <v>0.53504957275384601</v>
      </c>
      <c r="F10" s="28">
        <f>(D10-C10)/E10</f>
        <v>97.500000000000213</v>
      </c>
      <c r="G10" s="18"/>
      <c r="H10" s="18"/>
      <c r="I10" s="19">
        <f>E10*50/C10</f>
        <v>1.5384615384615382E-2</v>
      </c>
      <c r="J10" s="87"/>
    </row>
    <row r="11" spans="1:10">
      <c r="A11" s="104"/>
      <c r="B11" s="81">
        <f>B10+7</f>
        <v>43156</v>
      </c>
      <c r="C11" s="20">
        <f>D10+G10-H10</f>
        <v>1791.0784447934998</v>
      </c>
      <c r="D11" s="17">
        <f>C11+(C11*0.03)</f>
        <v>1844.8107981373048</v>
      </c>
      <c r="E11" s="17">
        <f>C11/3250</f>
        <v>0.55110105993646152</v>
      </c>
      <c r="F11" s="28">
        <f>(D11-C11)/E11</f>
        <v>97.500000000000028</v>
      </c>
      <c r="G11" s="18"/>
      <c r="H11" s="18"/>
      <c r="I11" s="19">
        <f>E11*50/C11</f>
        <v>1.5384615384615385E-2</v>
      </c>
      <c r="J11" s="87"/>
    </row>
    <row r="12" spans="1:10" ht="13" thickBot="1">
      <c r="A12" s="105"/>
      <c r="B12" s="81">
        <f>B11+7</f>
        <v>43163</v>
      </c>
      <c r="C12" s="20">
        <f>D11+G11-H11</f>
        <v>1844.8107981373048</v>
      </c>
      <c r="D12" s="17">
        <f>C12+(C12*0.03)</f>
        <v>1900.155122081424</v>
      </c>
      <c r="E12" s="17">
        <f>C12/3250</f>
        <v>0.56763409173455537</v>
      </c>
      <c r="F12" s="28">
        <f>(D12-C12)/E12</f>
        <v>97.500000000000085</v>
      </c>
      <c r="G12" s="18"/>
      <c r="H12" s="18"/>
      <c r="I12" s="19">
        <f>E12*50/C12</f>
        <v>1.5384615384615385E-2</v>
      </c>
      <c r="J12" s="87"/>
    </row>
    <row r="13" spans="1:10" ht="13" thickBot="1">
      <c r="A13" s="78"/>
      <c r="B13" s="13"/>
      <c r="C13" s="22"/>
      <c r="D13" s="23"/>
      <c r="E13" s="23"/>
      <c r="F13" s="27"/>
      <c r="G13" s="23"/>
      <c r="H13" s="10"/>
      <c r="I13" s="24"/>
      <c r="J13" s="91"/>
    </row>
    <row r="14" spans="1:10">
      <c r="A14" s="103">
        <v>3</v>
      </c>
      <c r="B14" s="81">
        <f>B12+7</f>
        <v>43170</v>
      </c>
      <c r="C14" s="20">
        <f>D12+G12-H12</f>
        <v>1900.155122081424</v>
      </c>
      <c r="D14" s="17">
        <f>C14+(C14*0.03)</f>
        <v>1957.1597757438667</v>
      </c>
      <c r="E14" s="17">
        <f>C14/3250</f>
        <v>0.58466311448659203</v>
      </c>
      <c r="F14" s="28">
        <f>(D14-C14)/E14</f>
        <v>97.499999999999972</v>
      </c>
      <c r="G14" s="18"/>
      <c r="H14" s="18"/>
      <c r="I14" s="19">
        <f>E14*50/C14</f>
        <v>1.5384615384615385E-2</v>
      </c>
      <c r="J14" s="87"/>
    </row>
    <row r="15" spans="1:10">
      <c r="A15" s="104"/>
      <c r="B15" s="81">
        <f>B14+7</f>
        <v>43177</v>
      </c>
      <c r="C15" s="20">
        <f>D14+G14-H14</f>
        <v>1957.1597757438667</v>
      </c>
      <c r="D15" s="17">
        <f>C15+(C15*0.03)</f>
        <v>2015.8745690161827</v>
      </c>
      <c r="E15" s="17">
        <f>C15/3250</f>
        <v>0.60220300792118975</v>
      </c>
      <c r="F15" s="28">
        <f>(D15-C15)/E15</f>
        <v>97.5</v>
      </c>
      <c r="G15" s="18"/>
      <c r="H15" s="18"/>
      <c r="I15" s="19">
        <f>E15*50/C15</f>
        <v>1.5384615384615385E-2</v>
      </c>
      <c r="J15" s="87"/>
    </row>
    <row r="16" spans="1:10">
      <c r="A16" s="104"/>
      <c r="B16" s="81">
        <f>B15+7</f>
        <v>43184</v>
      </c>
      <c r="C16" s="20">
        <f>D15+G15-H15</f>
        <v>2015.8745690161827</v>
      </c>
      <c r="D16" s="17">
        <f>C16+(C16*0.03)</f>
        <v>2076.3508060866684</v>
      </c>
      <c r="E16" s="17">
        <f>C16/3250</f>
        <v>0.62026909815882547</v>
      </c>
      <c r="F16" s="28">
        <f>(D16-C16)/E16</f>
        <v>97.500000000000341</v>
      </c>
      <c r="G16" s="18"/>
      <c r="H16" s="18"/>
      <c r="I16" s="19">
        <f>E16*50/C16</f>
        <v>1.5384615384615385E-2</v>
      </c>
      <c r="J16" s="87"/>
    </row>
    <row r="17" spans="1:11" ht="13.5" thickBot="1">
      <c r="A17" s="105"/>
      <c r="B17" s="81">
        <f>B16+7</f>
        <v>43191</v>
      </c>
      <c r="C17" s="20">
        <f>D16+G16-H16</f>
        <v>2076.3508060866684</v>
      </c>
      <c r="D17" s="17">
        <f>C17+(C17*0.03)</f>
        <v>2138.6413302692686</v>
      </c>
      <c r="E17" s="17">
        <f>C17/3250</f>
        <v>0.63887717110359032</v>
      </c>
      <c r="F17" s="28">
        <f>(D17-C17)/E17</f>
        <v>97.500000000000171</v>
      </c>
      <c r="G17" s="18"/>
      <c r="H17" s="80">
        <f>(D17-C4)*0.3</f>
        <v>191.59239908078055</v>
      </c>
      <c r="I17" s="19">
        <f>E17*50/C17</f>
        <v>1.5384615384615385E-2</v>
      </c>
      <c r="J17" s="87"/>
      <c r="K17" s="102" t="s">
        <v>48</v>
      </c>
    </row>
    <row r="18" spans="1:11" ht="13" thickBot="1">
      <c r="A18" s="78"/>
      <c r="B18" s="13"/>
      <c r="C18" s="22"/>
      <c r="D18" s="23"/>
      <c r="E18" s="23"/>
      <c r="F18" s="27"/>
      <c r="G18" s="23"/>
      <c r="H18" s="10"/>
      <c r="I18" s="24"/>
      <c r="J18" s="91"/>
    </row>
    <row r="19" spans="1:11">
      <c r="A19" s="103">
        <v>4</v>
      </c>
      <c r="B19" s="81">
        <f>B17+7</f>
        <v>43198</v>
      </c>
      <c r="C19" s="20">
        <f>D17+G17-H17</f>
        <v>1947.048931188488</v>
      </c>
      <c r="D19" s="17">
        <f>C19+(C19*0.03)</f>
        <v>2005.4603991241427</v>
      </c>
      <c r="E19" s="17">
        <f>C19/3250</f>
        <v>0.59909197882722709</v>
      </c>
      <c r="F19" s="28">
        <f>(D19-C19)/E19</f>
        <v>97.499999999999972</v>
      </c>
      <c r="G19" s="18"/>
      <c r="H19" s="18"/>
      <c r="I19" s="19">
        <f>E19*50/C19</f>
        <v>1.5384615384615384E-2</v>
      </c>
      <c r="J19" s="87"/>
    </row>
    <row r="20" spans="1:11">
      <c r="A20" s="104"/>
      <c r="B20" s="81">
        <f>B19+7</f>
        <v>43205</v>
      </c>
      <c r="C20" s="20">
        <f>D19+G19-H19</f>
        <v>2005.4603991241427</v>
      </c>
      <c r="D20" s="17">
        <f>C20+(C20*0.03)</f>
        <v>2065.6242110978669</v>
      </c>
      <c r="E20" s="17">
        <f>C20/3250</f>
        <v>0.61706473819204388</v>
      </c>
      <c r="F20" s="28">
        <f>(D20-C20)/E20</f>
        <v>97.499999999999957</v>
      </c>
      <c r="G20" s="18"/>
      <c r="H20" s="18"/>
      <c r="I20" s="19">
        <f>E20*50/C20</f>
        <v>1.5384615384615385E-2</v>
      </c>
      <c r="J20" s="87"/>
    </row>
    <row r="21" spans="1:11">
      <c r="A21" s="104"/>
      <c r="B21" s="81">
        <f>B20+7</f>
        <v>43212</v>
      </c>
      <c r="C21" s="20">
        <f>D20+G20-H20</f>
        <v>2065.6242110978669</v>
      </c>
      <c r="D21" s="17">
        <f>C21+(C21*0.03)</f>
        <v>2127.592937430803</v>
      </c>
      <c r="E21" s="17">
        <f>C21/3250</f>
        <v>0.63557668033780523</v>
      </c>
      <c r="F21" s="28">
        <f>(D21-C21)/E21</f>
        <v>97.500000000000071</v>
      </c>
      <c r="G21" s="18"/>
      <c r="H21" s="18"/>
      <c r="I21" s="19">
        <f>E21*50/C21</f>
        <v>1.5384615384615385E-2</v>
      </c>
      <c r="J21" s="87"/>
    </row>
    <row r="22" spans="1:11" ht="13" thickBot="1">
      <c r="A22" s="105"/>
      <c r="B22" s="81">
        <f>B21+7</f>
        <v>43219</v>
      </c>
      <c r="C22" s="20">
        <f>D21+G21-H21</f>
        <v>2127.592937430803</v>
      </c>
      <c r="D22" s="17">
        <f>C22+(C22*0.03)</f>
        <v>2191.4207255537272</v>
      </c>
      <c r="E22" s="17">
        <f>C22/3250</f>
        <v>0.65464398074793939</v>
      </c>
      <c r="F22" s="28">
        <f>(D22-C22)/E22</f>
        <v>97.500000000000128</v>
      </c>
      <c r="G22" s="18"/>
      <c r="H22" s="18"/>
      <c r="I22" s="19">
        <f>E22*50/C22</f>
        <v>1.5384615384615384E-2</v>
      </c>
      <c r="J22" s="87"/>
    </row>
    <row r="23" spans="1:11" ht="13" thickBot="1">
      <c r="A23" s="78"/>
      <c r="B23" s="13"/>
      <c r="C23" s="22"/>
      <c r="D23" s="23"/>
      <c r="E23" s="23"/>
      <c r="F23" s="27"/>
      <c r="G23" s="23"/>
      <c r="H23" s="10"/>
      <c r="I23" s="24"/>
      <c r="J23" s="86"/>
    </row>
    <row r="24" spans="1:11">
      <c r="A24" s="103">
        <v>5</v>
      </c>
      <c r="B24" s="81">
        <f>B22+7</f>
        <v>43226</v>
      </c>
      <c r="C24" s="20">
        <f>D22+G22-H22</f>
        <v>2191.4207255537272</v>
      </c>
      <c r="D24" s="17">
        <f>C24+(C24*0.03)</f>
        <v>2257.1633473203392</v>
      </c>
      <c r="E24" s="17">
        <f>C24/3250</f>
        <v>0.67428330017037763</v>
      </c>
      <c r="F24" s="28">
        <f>(D24-C24)/E24</f>
        <v>97.500000000000341</v>
      </c>
      <c r="G24" s="18"/>
      <c r="H24" s="18"/>
      <c r="I24" s="19">
        <f>E24*50/C24</f>
        <v>1.5384615384615385E-2</v>
      </c>
      <c r="J24" s="87"/>
    </row>
    <row r="25" spans="1:11">
      <c r="A25" s="104"/>
      <c r="B25" s="81">
        <f>B24+7</f>
        <v>43233</v>
      </c>
      <c r="C25" s="20">
        <f>D24+G24-H24</f>
        <v>2257.1633473203392</v>
      </c>
      <c r="D25" s="17">
        <f>C25+(C25*0.03)</f>
        <v>2324.8782477399495</v>
      </c>
      <c r="E25" s="17">
        <f>C25/3250</f>
        <v>0.694511799175489</v>
      </c>
      <c r="F25" s="28">
        <f>(D25-C25)/E25</f>
        <v>97.500000000000227</v>
      </c>
      <c r="G25" s="18"/>
      <c r="H25" s="18"/>
      <c r="I25" s="19">
        <f>E25*50/C25</f>
        <v>1.5384615384615385E-2</v>
      </c>
      <c r="J25" s="87"/>
    </row>
    <row r="26" spans="1:11">
      <c r="A26" s="104"/>
      <c r="B26" s="81">
        <f>B25+7</f>
        <v>43240</v>
      </c>
      <c r="C26" s="20">
        <f>D25+G25-H25</f>
        <v>2324.8782477399495</v>
      </c>
      <c r="D26" s="17">
        <f>C26+(C26*0.03)</f>
        <v>2394.624595172148</v>
      </c>
      <c r="E26" s="17">
        <f>C26/3250</f>
        <v>0.7153471531507537</v>
      </c>
      <c r="F26" s="28">
        <f>(D26-C26)/E26</f>
        <v>97.5</v>
      </c>
      <c r="G26" s="18"/>
      <c r="H26" s="18"/>
      <c r="I26" s="19">
        <f>E26*50/C26</f>
        <v>1.5384615384615385E-2</v>
      </c>
      <c r="J26" s="87"/>
    </row>
    <row r="27" spans="1:11" ht="13" thickBot="1">
      <c r="A27" s="105"/>
      <c r="B27" s="81">
        <f>B26+7</f>
        <v>43247</v>
      </c>
      <c r="C27" s="20">
        <f>D26+G26-H26</f>
        <v>2394.624595172148</v>
      </c>
      <c r="D27" s="17">
        <f>C27+(C27*0.03)</f>
        <v>2466.4633330273123</v>
      </c>
      <c r="E27" s="17">
        <f>C27/3250</f>
        <v>0.73680756774527634</v>
      </c>
      <c r="F27" s="28">
        <f>(D27-C27)/E27</f>
        <v>97.499999999999744</v>
      </c>
      <c r="G27" s="18"/>
      <c r="H27" s="18"/>
      <c r="I27" s="19">
        <f>E27*50/C27</f>
        <v>1.5384615384615385E-2</v>
      </c>
      <c r="J27" s="90"/>
    </row>
    <row r="28" spans="1:11" ht="13" thickBot="1">
      <c r="A28" s="78"/>
      <c r="B28" s="13"/>
      <c r="C28" s="22"/>
      <c r="D28" s="23"/>
      <c r="E28" s="23"/>
      <c r="F28" s="27"/>
      <c r="G28" s="23"/>
      <c r="H28" s="10"/>
      <c r="I28" s="24"/>
      <c r="J28" s="86"/>
    </row>
    <row r="29" spans="1:11">
      <c r="A29" s="103">
        <v>6</v>
      </c>
      <c r="B29" s="81">
        <f>B27+7</f>
        <v>43254</v>
      </c>
      <c r="C29" s="20">
        <f>D27+G27-H27</f>
        <v>2466.4633330273123</v>
      </c>
      <c r="D29" s="17">
        <f>C29+(C29*0.03)</f>
        <v>2540.4572330181318</v>
      </c>
      <c r="E29" s="17">
        <f>C29/3250</f>
        <v>0.7589117947776346</v>
      </c>
      <c r="F29" s="28">
        <f>(D29-C29)/E29</f>
        <v>97.500000000000171</v>
      </c>
      <c r="G29" s="18"/>
      <c r="H29" s="18"/>
      <c r="I29" s="19">
        <f>E29*50/C29</f>
        <v>1.5384615384615385E-2</v>
      </c>
      <c r="J29" s="87"/>
    </row>
    <row r="30" spans="1:11">
      <c r="A30" s="104"/>
      <c r="B30" s="81">
        <f>B29+7</f>
        <v>43261</v>
      </c>
      <c r="C30" s="20">
        <f>D29+G29-H29</f>
        <v>2540.4572330181318</v>
      </c>
      <c r="D30" s="17">
        <f>C30+(C30*0.03)</f>
        <v>2616.6709500086758</v>
      </c>
      <c r="E30" s="17">
        <f>C30/3250</f>
        <v>0.78167914862096366</v>
      </c>
      <c r="F30" s="28">
        <f>(D30-C30)/E30</f>
        <v>97.500000000000142</v>
      </c>
      <c r="G30" s="18"/>
      <c r="H30" s="18"/>
      <c r="I30" s="19">
        <f>E30*50/C30</f>
        <v>1.5384615384615385E-2</v>
      </c>
      <c r="J30" s="87"/>
    </row>
    <row r="31" spans="1:11">
      <c r="A31" s="104"/>
      <c r="B31" s="81">
        <f>B30+7</f>
        <v>43268</v>
      </c>
      <c r="C31" s="20">
        <f>D30+G30-H30</f>
        <v>2616.6709500086758</v>
      </c>
      <c r="D31" s="17">
        <f>C31+(C31*0.03)</f>
        <v>2695.1710785089363</v>
      </c>
      <c r="E31" s="17">
        <f>C31/3250</f>
        <v>0.80512952307959251</v>
      </c>
      <c r="F31" s="28">
        <f>(D31-C31)/E31</f>
        <v>97.500000000000185</v>
      </c>
      <c r="G31" s="18"/>
      <c r="H31" s="18"/>
      <c r="I31" s="19">
        <f>E31*50/C31</f>
        <v>1.5384615384615384E-2</v>
      </c>
      <c r="J31" s="87"/>
    </row>
    <row r="32" spans="1:11" ht="13.5" thickBot="1">
      <c r="A32" s="105"/>
      <c r="B32" s="81">
        <f>B31+7</f>
        <v>43275</v>
      </c>
      <c r="C32" s="20">
        <f>D31+G31-H31</f>
        <v>2695.1710785089363</v>
      </c>
      <c r="D32" s="17">
        <f>C32+(C32*0.03)</f>
        <v>2776.0262108642041</v>
      </c>
      <c r="E32" s="17">
        <f>C32/3250</f>
        <v>0.82928340877198037</v>
      </c>
      <c r="F32" s="28">
        <f>(D32-C32)/E32</f>
        <v>97.499999999999744</v>
      </c>
      <c r="G32" s="18"/>
      <c r="H32" s="80">
        <f>(D32-C19)*0.35</f>
        <v>290.14204788650062</v>
      </c>
      <c r="I32" s="19">
        <f>E32*50/C32</f>
        <v>1.5384615384615385E-2</v>
      </c>
      <c r="J32" s="87"/>
      <c r="K32" s="102" t="s">
        <v>49</v>
      </c>
    </row>
    <row r="33" spans="1:11" ht="13" thickBot="1">
      <c r="A33" s="78"/>
      <c r="B33" s="13"/>
      <c r="C33" s="22"/>
      <c r="D33" s="23"/>
      <c r="E33" s="23"/>
      <c r="F33" s="27"/>
      <c r="G33" s="23"/>
      <c r="H33" s="10"/>
      <c r="I33" s="24"/>
      <c r="J33" s="86"/>
    </row>
    <row r="34" spans="1:11">
      <c r="A34" s="103">
        <v>7</v>
      </c>
      <c r="B34" s="81">
        <f>B32+7</f>
        <v>43282</v>
      </c>
      <c r="C34" s="20">
        <f>D32+G32-H32</f>
        <v>2485.8841629777035</v>
      </c>
      <c r="D34" s="17">
        <f>C34+(C34*0.03)</f>
        <v>2560.4606878670347</v>
      </c>
      <c r="E34" s="17">
        <f>C34/3250</f>
        <v>0.76488743476237031</v>
      </c>
      <c r="F34" s="28">
        <f>(D34-C34)/E34</f>
        <v>97.500000000000213</v>
      </c>
      <c r="G34" s="18"/>
      <c r="H34" s="18"/>
      <c r="I34" s="19">
        <f>E34*50/C34</f>
        <v>1.5384615384615385E-2</v>
      </c>
      <c r="J34" s="90"/>
    </row>
    <row r="35" spans="1:11">
      <c r="A35" s="104"/>
      <c r="B35" s="81">
        <f>B34+7</f>
        <v>43289</v>
      </c>
      <c r="C35" s="20">
        <f>D34+G34-H34</f>
        <v>2560.4606878670347</v>
      </c>
      <c r="D35" s="17">
        <f>C35+(C35*0.03)</f>
        <v>2637.2745085030456</v>
      </c>
      <c r="E35" s="17">
        <f>C35/3250</f>
        <v>0.78783405780524141</v>
      </c>
      <c r="F35" s="28">
        <f>(D35-C35)/E35</f>
        <v>97.499999999999773</v>
      </c>
      <c r="G35" s="18"/>
      <c r="H35" s="18"/>
      <c r="I35" s="19">
        <f>E35*50/C35</f>
        <v>1.5384615384615382E-2</v>
      </c>
      <c r="J35" s="87"/>
    </row>
    <row r="36" spans="1:11">
      <c r="A36" s="104"/>
      <c r="B36" s="81">
        <f>B35+7</f>
        <v>43296</v>
      </c>
      <c r="C36" s="20">
        <f>D35+G35-H35</f>
        <v>2637.2745085030456</v>
      </c>
      <c r="D36" s="17">
        <f>C36+(C36*0.03)</f>
        <v>2716.3927437581369</v>
      </c>
      <c r="E36" s="17">
        <f>C36/3250</f>
        <v>0.81146907953939862</v>
      </c>
      <c r="F36" s="28">
        <f>(D36-C36)/E36</f>
        <v>97.499999999999986</v>
      </c>
      <c r="G36" s="18"/>
      <c r="H36" s="18"/>
      <c r="I36" s="19">
        <f>E36*50/C36</f>
        <v>1.5384615384615384E-2</v>
      </c>
      <c r="J36" s="87"/>
    </row>
    <row r="37" spans="1:11" ht="13" thickBot="1">
      <c r="A37" s="105"/>
      <c r="B37" s="81">
        <f>B36+7</f>
        <v>43303</v>
      </c>
      <c r="C37" s="20">
        <f>D36+G36-H36</f>
        <v>2716.3927437581369</v>
      </c>
      <c r="D37" s="17">
        <f>C37+(C37*0.03)</f>
        <v>2797.8845260708808</v>
      </c>
      <c r="E37" s="17">
        <f>C37/3250</f>
        <v>0.83581315192558059</v>
      </c>
      <c r="F37" s="28">
        <f>(D37-C37)/E37</f>
        <v>97.499999999999758</v>
      </c>
      <c r="G37" s="80"/>
      <c r="H37" s="80"/>
      <c r="I37" s="19">
        <f>E37*50/C37</f>
        <v>1.5384615384615385E-2</v>
      </c>
      <c r="J37" s="87"/>
    </row>
    <row r="38" spans="1:11" ht="13" thickBot="1">
      <c r="A38" s="78"/>
      <c r="B38" s="13"/>
      <c r="C38" s="22"/>
      <c r="D38" s="23"/>
      <c r="E38" s="23"/>
      <c r="F38" s="27"/>
      <c r="G38" s="23"/>
      <c r="H38" s="10"/>
      <c r="I38" s="24"/>
      <c r="J38" s="86"/>
    </row>
    <row r="39" spans="1:11">
      <c r="A39" s="103">
        <v>8</v>
      </c>
      <c r="B39" s="81">
        <f>B37+7</f>
        <v>43310</v>
      </c>
      <c r="C39" s="20">
        <f>D37+G37-H37</f>
        <v>2797.8845260708808</v>
      </c>
      <c r="D39" s="17">
        <f>C39+(C39*0.03)</f>
        <v>2881.8210618530074</v>
      </c>
      <c r="E39" s="17">
        <f>C39/3250</f>
        <v>0.86088754648334798</v>
      </c>
      <c r="F39" s="28">
        <f>(D39-C39)/E39</f>
        <v>97.500000000000213</v>
      </c>
      <c r="G39" s="18"/>
      <c r="H39" s="18"/>
      <c r="I39" s="19">
        <f>E39*50/C39</f>
        <v>1.5384615384615385E-2</v>
      </c>
      <c r="J39" s="87"/>
    </row>
    <row r="40" spans="1:11">
      <c r="A40" s="104"/>
      <c r="B40" s="81">
        <f>B39+7</f>
        <v>43317</v>
      </c>
      <c r="C40" s="20">
        <f>D39+G39-H39</f>
        <v>2881.8210618530074</v>
      </c>
      <c r="D40" s="17">
        <f>C40+(C40*0.03)</f>
        <v>2968.2756937085978</v>
      </c>
      <c r="E40" s="17">
        <f>C40/3250</f>
        <v>0.88671417287784848</v>
      </c>
      <c r="F40" s="28">
        <f>(D40-C40)/E40</f>
        <v>97.500000000000171</v>
      </c>
      <c r="G40" s="18"/>
      <c r="H40" s="18"/>
      <c r="I40" s="19">
        <f>E40*50/C40</f>
        <v>1.5384615384615385E-2</v>
      </c>
      <c r="J40" s="87"/>
    </row>
    <row r="41" spans="1:11">
      <c r="A41" s="104"/>
      <c r="B41" s="81">
        <f>B40+7</f>
        <v>43324</v>
      </c>
      <c r="C41" s="20">
        <f>D40+G40-H40</f>
        <v>2968.2756937085978</v>
      </c>
      <c r="D41" s="17">
        <f>C41+(C41*0.03)</f>
        <v>3057.323964519856</v>
      </c>
      <c r="E41" s="17">
        <f>C41/3250</f>
        <v>0.91331559806418394</v>
      </c>
      <c r="F41" s="28">
        <f>(D41-C41)/E41</f>
        <v>97.500000000000213</v>
      </c>
      <c r="G41" s="18"/>
      <c r="H41" s="18"/>
      <c r="I41" s="19">
        <f>E41*50/C41</f>
        <v>1.5384615384615385E-2</v>
      </c>
      <c r="J41" s="87"/>
    </row>
    <row r="42" spans="1:11" ht="13" thickBot="1">
      <c r="A42" s="105"/>
      <c r="B42" s="81">
        <f>B41+7</f>
        <v>43331</v>
      </c>
      <c r="C42" s="20">
        <f>D41+G41-H41</f>
        <v>3057.323964519856</v>
      </c>
      <c r="D42" s="17">
        <f>C42+(C42*0.03)</f>
        <v>3149.0436834554516</v>
      </c>
      <c r="E42" s="17">
        <f>C42/3250</f>
        <v>0.94071506600610955</v>
      </c>
      <c r="F42" s="28">
        <f>(D42-C42)/E42</f>
        <v>97.499999999999986</v>
      </c>
      <c r="G42" s="80"/>
      <c r="H42" s="80"/>
      <c r="I42" s="19">
        <f>E42*50/C42</f>
        <v>1.5384615384615385E-2</v>
      </c>
      <c r="J42" s="87"/>
    </row>
    <row r="43" spans="1:11" ht="13" thickBot="1">
      <c r="A43" s="78"/>
      <c r="B43" s="13"/>
      <c r="C43" s="22"/>
      <c r="D43" s="23"/>
      <c r="E43" s="23"/>
      <c r="F43" s="27"/>
      <c r="G43" s="23"/>
      <c r="H43" s="10"/>
      <c r="I43" s="24"/>
      <c r="J43" s="86"/>
    </row>
    <row r="44" spans="1:11">
      <c r="A44" s="103">
        <v>9</v>
      </c>
      <c r="B44" s="81">
        <f>B42+7</f>
        <v>43338</v>
      </c>
      <c r="C44" s="20">
        <f>D42+G42-H42</f>
        <v>3149.0436834554516</v>
      </c>
      <c r="D44" s="17">
        <f>C44+(C44*0.03)</f>
        <v>3243.5149939591151</v>
      </c>
      <c r="E44" s="17">
        <f>C44/3250</f>
        <v>0.96893651798629277</v>
      </c>
      <c r="F44" s="28">
        <f>(D44-C44)/E44</f>
        <v>97.499999999999972</v>
      </c>
      <c r="G44" s="18"/>
      <c r="H44" s="18"/>
      <c r="I44" s="19">
        <f>E44*50/C44</f>
        <v>1.5384615384615384E-2</v>
      </c>
      <c r="J44" s="85"/>
    </row>
    <row r="45" spans="1:11">
      <c r="A45" s="104"/>
      <c r="B45" s="81">
        <f>B44+7</f>
        <v>43345</v>
      </c>
      <c r="C45" s="20">
        <f>D44+G44-H44</f>
        <v>3243.5149939591151</v>
      </c>
      <c r="D45" s="17">
        <f>C45+(C45*0.03)</f>
        <v>3340.8204437778886</v>
      </c>
      <c r="E45" s="17">
        <f>C45/3250</f>
        <v>0.99800461352588155</v>
      </c>
      <c r="F45" s="28">
        <f>(D45-C45)/E45</f>
        <v>97.500000000000014</v>
      </c>
      <c r="G45" s="18"/>
      <c r="H45" s="18"/>
      <c r="I45" s="19">
        <f>E45*50/C45</f>
        <v>1.5384615384615384E-2</v>
      </c>
      <c r="J45" s="85"/>
    </row>
    <row r="46" spans="1:11">
      <c r="A46" s="104"/>
      <c r="B46" s="81">
        <f>B45+7</f>
        <v>43352</v>
      </c>
      <c r="C46" s="20">
        <f>D45+G45-H45</f>
        <v>3340.8204437778886</v>
      </c>
      <c r="D46" s="17">
        <f>C46+(C46*0.03)</f>
        <v>3441.0450570912253</v>
      </c>
      <c r="E46" s="17">
        <f>C46/3250</f>
        <v>1.027944751931658</v>
      </c>
      <c r="F46" s="28">
        <f>(D46-C46)/E46</f>
        <v>97.500000000000043</v>
      </c>
      <c r="G46" s="18"/>
      <c r="H46" s="18"/>
      <c r="I46" s="19">
        <f>E46*50/C46</f>
        <v>1.5384615384615384E-2</v>
      </c>
      <c r="J46" s="85"/>
    </row>
    <row r="47" spans="1:11" ht="13.5" thickBot="1">
      <c r="A47" s="105"/>
      <c r="B47" s="81">
        <f>B46+7</f>
        <v>43359</v>
      </c>
      <c r="C47" s="20">
        <f>D46+G46-H46</f>
        <v>3441.0450570912253</v>
      </c>
      <c r="D47" s="17">
        <f>C47+(C47*0.03)</f>
        <v>3544.2764088039621</v>
      </c>
      <c r="E47" s="17">
        <f>C47/3250</f>
        <v>1.0587830944896077</v>
      </c>
      <c r="F47" s="28">
        <f>(D47-C47)/E47</f>
        <v>97.500000000000043</v>
      </c>
      <c r="G47" s="80"/>
      <c r="H47" s="80">
        <f>(D47-C34)*0.35</f>
        <v>370.4372860391905</v>
      </c>
      <c r="I47" s="19">
        <f>E47*50/C47</f>
        <v>1.5384615384615384E-2</v>
      </c>
      <c r="J47" s="85"/>
      <c r="K47" s="102" t="s">
        <v>49</v>
      </c>
    </row>
    <row r="48" spans="1:11" ht="13" thickBot="1">
      <c r="A48" s="78"/>
      <c r="B48" s="13"/>
      <c r="C48" s="22"/>
      <c r="D48" s="23"/>
      <c r="E48" s="23"/>
      <c r="F48" s="27"/>
      <c r="G48" s="23"/>
      <c r="H48" s="10"/>
      <c r="I48" s="24"/>
      <c r="J48" s="86"/>
    </row>
    <row r="49" spans="1:11">
      <c r="A49" s="103">
        <v>10</v>
      </c>
      <c r="B49" s="81">
        <f>B47+7</f>
        <v>43366</v>
      </c>
      <c r="C49" s="20">
        <f>D47+G47-H47</f>
        <v>3173.8391227647717</v>
      </c>
      <c r="D49" s="17">
        <f>C49+(C49*0.03)</f>
        <v>3269.0542964477149</v>
      </c>
      <c r="E49" s="17">
        <f>C49/3250</f>
        <v>0.976565883927622</v>
      </c>
      <c r="F49" s="28">
        <f>(D49-C49)/E49</f>
        <v>97.500000000000114</v>
      </c>
      <c r="G49" s="18"/>
      <c r="H49" s="18"/>
      <c r="I49" s="19">
        <f>E49*50/C49</f>
        <v>1.5384615384615384E-2</v>
      </c>
      <c r="J49" s="85"/>
    </row>
    <row r="50" spans="1:11">
      <c r="A50" s="104"/>
      <c r="B50" s="81">
        <f>B49+7</f>
        <v>43373</v>
      </c>
      <c r="C50" s="20">
        <f>D49+G49-H49</f>
        <v>3269.0542964477149</v>
      </c>
      <c r="D50" s="17">
        <f>C50+(C50*0.03)</f>
        <v>3367.1259253411463</v>
      </c>
      <c r="E50" s="17">
        <f>C50/3250</f>
        <v>1.0058628604454507</v>
      </c>
      <c r="F50" s="28">
        <f>(D50-C50)/E50</f>
        <v>97.499999999999915</v>
      </c>
      <c r="G50" s="18"/>
      <c r="H50" s="18"/>
      <c r="I50" s="19">
        <f>E50*50/C50</f>
        <v>1.5384615384615385E-2</v>
      </c>
      <c r="J50" s="85"/>
    </row>
    <row r="51" spans="1:11">
      <c r="A51" s="104"/>
      <c r="B51" s="81">
        <f>B50+7</f>
        <v>43380</v>
      </c>
      <c r="C51" s="20">
        <f>D50+G50-H50</f>
        <v>3367.1259253411463</v>
      </c>
      <c r="D51" s="17">
        <f>C51+(C51*0.03)</f>
        <v>3468.1397031013807</v>
      </c>
      <c r="E51" s="17">
        <f>C51/3250</f>
        <v>1.0360387462588143</v>
      </c>
      <c r="F51" s="28">
        <f>(D51-C51)/E51</f>
        <v>97.500000000000057</v>
      </c>
      <c r="G51" s="18"/>
      <c r="H51" s="18"/>
      <c r="I51" s="19">
        <f>E51*50/C51</f>
        <v>1.5384615384615385E-2</v>
      </c>
      <c r="J51" s="85"/>
    </row>
    <row r="52" spans="1:11" ht="13" thickBot="1">
      <c r="A52" s="105"/>
      <c r="B52" s="81">
        <f>B51+7</f>
        <v>43387</v>
      </c>
      <c r="C52" s="20">
        <f>D51+G51-H51</f>
        <v>3468.1397031013807</v>
      </c>
      <c r="D52" s="17">
        <f>C52+(C52*0.03)</f>
        <v>3572.183894194422</v>
      </c>
      <c r="E52" s="17">
        <f>C52/3250</f>
        <v>1.0671199086465788</v>
      </c>
      <c r="F52" s="28">
        <f>(D52-C52)/E52</f>
        <v>97.499999999999844</v>
      </c>
      <c r="G52" s="80"/>
      <c r="H52" s="80"/>
      <c r="I52" s="19">
        <f>E52*50/C52</f>
        <v>1.5384615384615385E-2</v>
      </c>
      <c r="J52" s="85"/>
    </row>
    <row r="53" spans="1:11" ht="13" thickBot="1">
      <c r="A53" s="78"/>
      <c r="B53" s="13"/>
      <c r="C53" s="22"/>
      <c r="D53" s="23"/>
      <c r="E53" s="23"/>
      <c r="F53" s="27"/>
      <c r="G53" s="23"/>
      <c r="H53" s="10"/>
      <c r="I53" s="24"/>
      <c r="J53" s="86"/>
    </row>
    <row r="54" spans="1:11">
      <c r="A54" s="103">
        <v>11</v>
      </c>
      <c r="B54" s="81">
        <f>B52+7</f>
        <v>43394</v>
      </c>
      <c r="C54" s="20">
        <f>D52+G52-H52</f>
        <v>3572.183894194422</v>
      </c>
      <c r="D54" s="17">
        <f>C54+(C54*0.03)</f>
        <v>3679.3494110202546</v>
      </c>
      <c r="E54" s="17">
        <f>C54/3250</f>
        <v>1.0991335059059759</v>
      </c>
      <c r="F54" s="28">
        <f>(D54-C54)/E54</f>
        <v>97.499999999999943</v>
      </c>
      <c r="G54" s="18"/>
      <c r="H54" s="18"/>
      <c r="I54" s="19">
        <f>E54*50/C54</f>
        <v>1.5384615384615384E-2</v>
      </c>
      <c r="J54" s="85"/>
    </row>
    <row r="55" spans="1:11">
      <c r="A55" s="104"/>
      <c r="B55" s="81">
        <f>B54+7</f>
        <v>43401</v>
      </c>
      <c r="C55" s="20">
        <f>D54+G54-H54</f>
        <v>3679.3494110202546</v>
      </c>
      <c r="D55" s="17">
        <f>C55+(C55*0.03)</f>
        <v>3789.7298933508623</v>
      </c>
      <c r="E55" s="17">
        <f>C55/3250</f>
        <v>1.1321075110831553</v>
      </c>
      <c r="F55" s="28">
        <f>(D55-C55)/E55</f>
        <v>97.500000000000071</v>
      </c>
      <c r="G55" s="18"/>
      <c r="H55" s="18"/>
      <c r="I55" s="19">
        <f>E55*50/C55</f>
        <v>1.5384615384615385E-2</v>
      </c>
      <c r="J55" s="85"/>
    </row>
    <row r="56" spans="1:11">
      <c r="A56" s="104"/>
      <c r="B56" s="81">
        <f>B55+7</f>
        <v>43408</v>
      </c>
      <c r="C56" s="20">
        <f>D55+G55-H55</f>
        <v>3789.7298933508623</v>
      </c>
      <c r="D56" s="17">
        <f>C56+(C56*0.03)</f>
        <v>3903.421790151388</v>
      </c>
      <c r="E56" s="17">
        <f>C56/3250</f>
        <v>1.16607073641565</v>
      </c>
      <c r="F56" s="28">
        <f>(D56-C56)/E56</f>
        <v>97.499999999999844</v>
      </c>
      <c r="G56" s="18"/>
      <c r="H56" s="18"/>
      <c r="I56" s="19">
        <f>E56*50/C56</f>
        <v>1.5384615384615385E-2</v>
      </c>
      <c r="J56" s="85"/>
    </row>
    <row r="57" spans="1:11" ht="13" thickBot="1">
      <c r="A57" s="105"/>
      <c r="B57" s="81">
        <f>B56+7</f>
        <v>43415</v>
      </c>
      <c r="C57" s="20">
        <f>D56+G56-H56</f>
        <v>3903.421790151388</v>
      </c>
      <c r="D57" s="17">
        <f>C57+(C57*0.03)</f>
        <v>4020.5244438559298</v>
      </c>
      <c r="E57" s="17">
        <f>C57/3250</f>
        <v>1.2010528585081195</v>
      </c>
      <c r="F57" s="28">
        <f>(D57-C57)/E57</f>
        <v>97.500000000000128</v>
      </c>
      <c r="G57" s="80"/>
      <c r="H57" s="80"/>
      <c r="I57" s="19">
        <f>E57*50/C57</f>
        <v>1.5384615384615387E-2</v>
      </c>
      <c r="J57" s="85"/>
    </row>
    <row r="58" spans="1:11" ht="13" thickBot="1">
      <c r="A58" s="78"/>
      <c r="B58" s="13"/>
      <c r="C58" s="22"/>
      <c r="D58" s="23"/>
      <c r="E58" s="23"/>
      <c r="F58" s="27"/>
      <c r="G58" s="23"/>
      <c r="H58" s="10"/>
      <c r="I58" s="24"/>
      <c r="J58" s="86"/>
    </row>
    <row r="59" spans="1:11">
      <c r="A59" s="103">
        <v>12</v>
      </c>
      <c r="B59" s="81">
        <f>B57+7</f>
        <v>43422</v>
      </c>
      <c r="C59" s="20">
        <f>D57+G57-H57</f>
        <v>4020.5244438559298</v>
      </c>
      <c r="D59" s="17">
        <f>C59+(C59*0.03)</f>
        <v>4141.1401771716073</v>
      </c>
      <c r="E59" s="17">
        <f>C59/3250</f>
        <v>1.2370844442633631</v>
      </c>
      <c r="F59" s="28">
        <f>(D59-C59)/E59</f>
        <v>97.499999999999687</v>
      </c>
      <c r="G59" s="18"/>
      <c r="H59" s="18"/>
      <c r="I59" s="19">
        <f>E59*50/C59</f>
        <v>1.5384615384615384E-2</v>
      </c>
      <c r="J59" s="85"/>
    </row>
    <row r="60" spans="1:11">
      <c r="A60" s="104"/>
      <c r="B60" s="81">
        <f>B59+7</f>
        <v>43429</v>
      </c>
      <c r="C60" s="20">
        <f>D59+G59-H59</f>
        <v>4141.1401771716073</v>
      </c>
      <c r="D60" s="17">
        <f>C60+(C60*0.03)</f>
        <v>4265.3743824867552</v>
      </c>
      <c r="E60" s="17">
        <f>C60/3250</f>
        <v>1.2741969775912638</v>
      </c>
      <c r="F60" s="28">
        <f>(D60-C60)/E60</f>
        <v>97.499999999999702</v>
      </c>
      <c r="G60" s="18"/>
      <c r="H60" s="18"/>
      <c r="I60" s="19">
        <f>E60*50/C60</f>
        <v>1.5384615384615384E-2</v>
      </c>
      <c r="J60" s="85"/>
    </row>
    <row r="61" spans="1:11">
      <c r="A61" s="104"/>
      <c r="B61" s="81">
        <f>B60+7</f>
        <v>43436</v>
      </c>
      <c r="C61" s="20">
        <f>D60+G60-H60</f>
        <v>4265.3743824867552</v>
      </c>
      <c r="D61" s="17">
        <f>C61+(C61*0.03)</f>
        <v>4393.3356139613579</v>
      </c>
      <c r="E61" s="17">
        <f>C61/3250</f>
        <v>1.3124228869190016</v>
      </c>
      <c r="F61" s="28">
        <f>(D61-C61)/E61</f>
        <v>97.500000000000085</v>
      </c>
      <c r="G61" s="18"/>
      <c r="H61" s="18"/>
      <c r="I61" s="19">
        <f>E61*50/C61</f>
        <v>1.5384615384615382E-2</v>
      </c>
      <c r="J61" s="85"/>
    </row>
    <row r="62" spans="1:11" ht="13.5" thickBot="1">
      <c r="A62" s="105"/>
      <c r="B62" s="81">
        <f>B61+7</f>
        <v>43443</v>
      </c>
      <c r="C62" s="20">
        <f>D61+G61-H61</f>
        <v>4393.3356139613579</v>
      </c>
      <c r="D62" s="17">
        <f>C62+(C62*0.03)</f>
        <v>4525.1356823801989</v>
      </c>
      <c r="E62" s="17">
        <f>C62/3250</f>
        <v>1.3517955735265716</v>
      </c>
      <c r="F62" s="28">
        <f>(D62-C62)/E62</f>
        <v>97.500000000000171</v>
      </c>
      <c r="G62" s="80"/>
      <c r="H62" s="80">
        <f>(D62-C49)*0.35</f>
        <v>472.95379586539951</v>
      </c>
      <c r="I62" s="19">
        <f>E62*50/C62</f>
        <v>1.5384615384615384E-2</v>
      </c>
      <c r="J62" s="85"/>
      <c r="K62" s="102" t="s">
        <v>49</v>
      </c>
    </row>
    <row r="63" spans="1:11" ht="13" thickBot="1">
      <c r="A63" s="78"/>
      <c r="B63" s="13"/>
      <c r="C63" s="22"/>
      <c r="D63" s="23"/>
      <c r="E63" s="23"/>
      <c r="F63" s="27"/>
      <c r="G63" s="23"/>
      <c r="H63" s="10"/>
      <c r="I63" s="24"/>
      <c r="J63" s="86"/>
    </row>
    <row r="64" spans="1:11">
      <c r="A64" s="103">
        <v>13</v>
      </c>
      <c r="B64" s="81">
        <f>B62+7</f>
        <v>43450</v>
      </c>
      <c r="C64" s="20">
        <f>D62+G62-H62</f>
        <v>4052.1818865147993</v>
      </c>
      <c r="D64" s="17">
        <f>C64+(C64*0.03)</f>
        <v>4173.7473431102435</v>
      </c>
      <c r="E64" s="17">
        <f>C64/3250</f>
        <v>1.2468251958507075</v>
      </c>
      <c r="F64" s="28">
        <f>(D64-C64)/E64</f>
        <v>97.500000000000156</v>
      </c>
      <c r="G64" s="17"/>
      <c r="H64" s="79"/>
      <c r="I64" s="19">
        <f>E64*50/C64</f>
        <v>1.5384615384615385E-2</v>
      </c>
      <c r="J64" s="85"/>
    </row>
    <row r="65" spans="1:11">
      <c r="A65" s="104"/>
      <c r="B65" s="81">
        <f>B64+7</f>
        <v>43457</v>
      </c>
      <c r="C65" s="20">
        <f>D64+G64-H64</f>
        <v>4173.7473431102435</v>
      </c>
      <c r="D65" s="17">
        <f>C65+(C65*0.03)</f>
        <v>4298.9597634035508</v>
      </c>
      <c r="E65" s="17">
        <f>C65/3250</f>
        <v>1.2842299517262288</v>
      </c>
      <c r="F65" s="28">
        <f>(D65-C65)/E65</f>
        <v>97.500000000000014</v>
      </c>
      <c r="G65" s="17"/>
      <c r="H65" s="79"/>
      <c r="I65" s="19">
        <f>E65*50/C65</f>
        <v>1.5384615384615384E-2</v>
      </c>
      <c r="J65" s="85"/>
    </row>
    <row r="66" spans="1:11">
      <c r="A66" s="104"/>
      <c r="B66" s="81">
        <f>B65+7</f>
        <v>43464</v>
      </c>
      <c r="C66" s="20">
        <f>D65+G65-H65</f>
        <v>4298.9597634035508</v>
      </c>
      <c r="D66" s="17">
        <f>C66+(C66*0.03)</f>
        <v>4427.9285563056574</v>
      </c>
      <c r="E66" s="17">
        <f>C66/3250</f>
        <v>1.3227568502780156</v>
      </c>
      <c r="F66" s="28">
        <f>(D66-C66)/E66</f>
        <v>97.500000000000014</v>
      </c>
      <c r="G66" s="17"/>
      <c r="H66" s="79"/>
      <c r="I66" s="19">
        <f>E66*50/C66</f>
        <v>1.5384615384615384E-2</v>
      </c>
      <c r="J66" s="85"/>
    </row>
    <row r="67" spans="1:11" ht="13" thickBot="1">
      <c r="A67" s="105"/>
      <c r="B67" s="81">
        <f>B66+7</f>
        <v>43471</v>
      </c>
      <c r="C67" s="20">
        <f>D66+G66-H66</f>
        <v>4427.9285563056574</v>
      </c>
      <c r="D67" s="17">
        <f>C67+(C67*0.03)</f>
        <v>4560.7664129948271</v>
      </c>
      <c r="E67" s="17">
        <f>C67/3250</f>
        <v>1.362439555786356</v>
      </c>
      <c r="F67" s="28">
        <f>(D67-C67)/E67</f>
        <v>97.5</v>
      </c>
      <c r="G67" s="80"/>
      <c r="H67" s="80"/>
      <c r="I67" s="19">
        <f>E67*50/C67</f>
        <v>1.5384615384615382E-2</v>
      </c>
      <c r="J67" s="85"/>
    </row>
    <row r="68" spans="1:11" ht="13" thickBot="1">
      <c r="A68" s="78"/>
      <c r="B68" s="13"/>
      <c r="C68" s="22"/>
      <c r="D68" s="23"/>
      <c r="E68" s="23"/>
      <c r="F68" s="27"/>
      <c r="G68" s="23"/>
      <c r="H68" s="10"/>
      <c r="I68" s="24"/>
      <c r="J68" s="86"/>
    </row>
    <row r="69" spans="1:11">
      <c r="A69" s="103">
        <v>14</v>
      </c>
      <c r="B69" s="81">
        <f>B67+7</f>
        <v>43478</v>
      </c>
      <c r="C69" s="20">
        <f>D67+G67-H67</f>
        <v>4560.7664129948271</v>
      </c>
      <c r="D69" s="17">
        <f>C69+(C69*0.03)</f>
        <v>4697.5894053846723</v>
      </c>
      <c r="E69" s="17">
        <f>C69/3250</f>
        <v>1.4033127424599467</v>
      </c>
      <c r="F69" s="28">
        <f>(D69-C69)/E69</f>
        <v>97.500000000000313</v>
      </c>
      <c r="G69" s="18"/>
      <c r="H69" s="18"/>
      <c r="I69" s="19">
        <f>E69*50/C69</f>
        <v>1.5384615384615384E-2</v>
      </c>
      <c r="J69" s="85"/>
    </row>
    <row r="70" spans="1:11">
      <c r="A70" s="104"/>
      <c r="B70" s="81">
        <f>B69+7</f>
        <v>43485</v>
      </c>
      <c r="C70" s="20">
        <f>D69+G69-H69</f>
        <v>4697.5894053846723</v>
      </c>
      <c r="D70" s="17">
        <f>C70+(C70*0.03)</f>
        <v>4838.5170875462127</v>
      </c>
      <c r="E70" s="17">
        <f>C70/3250</f>
        <v>1.4454121247337453</v>
      </c>
      <c r="F70" s="28">
        <f>(D70-C70)/E70</f>
        <v>97.500000000000142</v>
      </c>
      <c r="G70" s="18"/>
      <c r="H70" s="18"/>
      <c r="I70" s="19">
        <f>E70*50/C70</f>
        <v>1.5384615384615382E-2</v>
      </c>
      <c r="J70" s="85"/>
    </row>
    <row r="71" spans="1:11">
      <c r="A71" s="104"/>
      <c r="B71" s="81">
        <f>B70+7</f>
        <v>43492</v>
      </c>
      <c r="C71" s="20">
        <f>D70+G70-H70</f>
        <v>4838.5170875462127</v>
      </c>
      <c r="D71" s="17">
        <f>C71+(C71*0.03)</f>
        <v>4983.6726001725992</v>
      </c>
      <c r="E71" s="17">
        <f>C71/3250</f>
        <v>1.4887744884757577</v>
      </c>
      <c r="F71" s="28">
        <f>(D71-C71)/E71</f>
        <v>97.500000000000128</v>
      </c>
      <c r="G71" s="18"/>
      <c r="H71" s="18"/>
      <c r="I71" s="19">
        <f>E71*50/C71</f>
        <v>1.5384615384615385E-2</v>
      </c>
      <c r="J71" s="85"/>
    </row>
    <row r="72" spans="1:11" ht="13" thickBot="1">
      <c r="A72" s="105"/>
      <c r="B72" s="81">
        <f>B71+7</f>
        <v>43499</v>
      </c>
      <c r="C72" s="20">
        <f>D71+G71-H71</f>
        <v>4983.6726001725992</v>
      </c>
      <c r="D72" s="17">
        <f>C72+(C72*0.03)</f>
        <v>5133.1827781777774</v>
      </c>
      <c r="E72" s="17">
        <f>C72/3250</f>
        <v>1.5334377231300305</v>
      </c>
      <c r="F72" s="28">
        <f>(D72-C72)/E72</f>
        <v>97.500000000000156</v>
      </c>
      <c r="G72" s="80"/>
      <c r="H72" s="80"/>
      <c r="I72" s="19">
        <f>E72*50/C72</f>
        <v>1.5384615384615385E-2</v>
      </c>
      <c r="J72" s="85"/>
    </row>
    <row r="73" spans="1:11" ht="13" thickBot="1">
      <c r="A73" s="78"/>
      <c r="B73" s="13"/>
      <c r="C73" s="22"/>
      <c r="D73" s="23"/>
      <c r="E73" s="23"/>
      <c r="F73" s="27"/>
      <c r="G73" s="23"/>
      <c r="H73" s="10"/>
      <c r="I73" s="24"/>
      <c r="J73" s="86"/>
    </row>
    <row r="74" spans="1:11">
      <c r="A74" s="103">
        <v>15</v>
      </c>
      <c r="B74" s="81">
        <f>B72+7</f>
        <v>43506</v>
      </c>
      <c r="C74" s="20">
        <f>D72+G72-H72</f>
        <v>5133.1827781777774</v>
      </c>
      <c r="D74" s="17">
        <f>C74+(C74*0.03)</f>
        <v>5287.1782615231105</v>
      </c>
      <c r="E74" s="17">
        <f>C74/3250</f>
        <v>1.5794408548239316</v>
      </c>
      <c r="F74" s="28">
        <f>(D74-C74)/E74</f>
        <v>97.499999999999801</v>
      </c>
      <c r="G74" s="18"/>
      <c r="H74" s="18"/>
      <c r="I74" s="19">
        <f>E74*50/C74</f>
        <v>1.5384615384615384E-2</v>
      </c>
      <c r="J74" s="85"/>
    </row>
    <row r="75" spans="1:11">
      <c r="A75" s="104"/>
      <c r="B75" s="81">
        <f>B74+7</f>
        <v>43513</v>
      </c>
      <c r="C75" s="20">
        <f>D74+G74-H74</f>
        <v>5287.1782615231105</v>
      </c>
      <c r="D75" s="17">
        <f>C75+(C75*0.03)</f>
        <v>5445.793609368804</v>
      </c>
      <c r="E75" s="17">
        <f>C75/3250</f>
        <v>1.6268240804686493</v>
      </c>
      <c r="F75" s="28">
        <f>(D75-C75)/E75</f>
        <v>97.500000000000171</v>
      </c>
      <c r="G75" s="18"/>
      <c r="H75" s="18"/>
      <c r="I75" s="19">
        <f>E75*50/C75</f>
        <v>1.5384615384615384E-2</v>
      </c>
      <c r="J75" s="85"/>
    </row>
    <row r="76" spans="1:11">
      <c r="A76" s="104"/>
      <c r="B76" s="81">
        <f>B75+7</f>
        <v>43520</v>
      </c>
      <c r="C76" s="20">
        <f>D75+G75-H75</f>
        <v>5445.793609368804</v>
      </c>
      <c r="D76" s="17">
        <f>C76+(C76*0.03)</f>
        <v>5609.1674176498682</v>
      </c>
      <c r="E76" s="17">
        <f>C76/3250</f>
        <v>1.6756288028827089</v>
      </c>
      <c r="F76" s="28">
        <f>(D76-C76)/E76</f>
        <v>97.500000000000028</v>
      </c>
      <c r="G76" s="18"/>
      <c r="H76" s="18"/>
      <c r="I76" s="19">
        <f>E76*50/C76</f>
        <v>1.5384615384615384E-2</v>
      </c>
      <c r="J76" s="85"/>
    </row>
    <row r="77" spans="1:11" ht="13.5" thickBot="1">
      <c r="A77" s="105"/>
      <c r="B77" s="81">
        <f>B76+7</f>
        <v>43527</v>
      </c>
      <c r="C77" s="20">
        <f>D76+G76-H76</f>
        <v>5609.1674176498682</v>
      </c>
      <c r="D77" s="17">
        <f>C77+(C77*0.03)</f>
        <v>5777.442440179364</v>
      </c>
      <c r="E77" s="17">
        <f>C77/3250</f>
        <v>1.7258976669691901</v>
      </c>
      <c r="F77" s="28">
        <f>(D77-C77)/E77</f>
        <v>97.499999999999858</v>
      </c>
      <c r="G77" s="80"/>
      <c r="H77" s="80">
        <f>(D77-C64)*0.35</f>
        <v>603.84119378259754</v>
      </c>
      <c r="I77" s="19">
        <f>E77*50/C77</f>
        <v>1.5384615384615384E-2</v>
      </c>
      <c r="J77" s="85"/>
      <c r="K77" s="102" t="s">
        <v>49</v>
      </c>
    </row>
    <row r="78" spans="1:11" ht="13" thickBot="1">
      <c r="A78" s="78"/>
      <c r="B78" s="13"/>
      <c r="C78" s="22"/>
      <c r="D78" s="23"/>
      <c r="E78" s="23"/>
      <c r="F78" s="27"/>
      <c r="G78" s="23"/>
      <c r="H78" s="10"/>
      <c r="I78" s="24"/>
      <c r="J78" s="86"/>
    </row>
    <row r="79" spans="1:11">
      <c r="A79" s="103">
        <v>16</v>
      </c>
      <c r="B79" s="81">
        <f>B77+7</f>
        <v>43534</v>
      </c>
      <c r="C79" s="20">
        <f>D77+G77-H77</f>
        <v>5173.6012463967663</v>
      </c>
      <c r="D79" s="17">
        <f>C79+(C79*0.03)</f>
        <v>5328.8092837886697</v>
      </c>
      <c r="E79" s="17">
        <f>C79/3250</f>
        <v>1.5918773065836205</v>
      </c>
      <c r="F79" s="28">
        <f>(D79-C79)/E79</f>
        <v>97.50000000000027</v>
      </c>
      <c r="G79" s="18"/>
      <c r="H79" s="18"/>
      <c r="I79" s="19">
        <f>E79*50/C79</f>
        <v>1.5384615384615385E-2</v>
      </c>
      <c r="J79" s="85"/>
    </row>
    <row r="80" spans="1:11">
      <c r="A80" s="104"/>
      <c r="B80" s="81">
        <f>B79+7</f>
        <v>43541</v>
      </c>
      <c r="C80" s="20">
        <f>D79+G79-H79</f>
        <v>5328.8092837886697</v>
      </c>
      <c r="D80" s="17">
        <f>C80+(C80*0.03)</f>
        <v>5488.6735623023296</v>
      </c>
      <c r="E80" s="17">
        <f>C80/3250</f>
        <v>1.6396336257811293</v>
      </c>
      <c r="F80" s="28">
        <f>(D80-C80)/E80</f>
        <v>97.499999999999872</v>
      </c>
      <c r="G80" s="18"/>
      <c r="H80" s="18"/>
      <c r="I80" s="19">
        <f>E80*50/C80</f>
        <v>1.5384615384615387E-2</v>
      </c>
      <c r="J80" s="85"/>
    </row>
    <row r="81" spans="1:11">
      <c r="A81" s="104"/>
      <c r="B81" s="81">
        <f>B80+7</f>
        <v>43548</v>
      </c>
      <c r="C81" s="20">
        <f>D80+G80-H80</f>
        <v>5488.6735623023296</v>
      </c>
      <c r="D81" s="17">
        <f>C81+(C81*0.03)</f>
        <v>5653.3337691713996</v>
      </c>
      <c r="E81" s="17">
        <f>C81/3250</f>
        <v>1.6888226345545629</v>
      </c>
      <c r="F81" s="28">
        <f>(D81-C81)/E81</f>
        <v>97.500000000000043</v>
      </c>
      <c r="G81" s="18"/>
      <c r="H81" s="18"/>
      <c r="I81" s="19">
        <f>E81*50/C81</f>
        <v>1.5384615384615385E-2</v>
      </c>
      <c r="J81" s="85"/>
    </row>
    <row r="82" spans="1:11" ht="13" thickBot="1">
      <c r="A82" s="105"/>
      <c r="B82" s="81">
        <f>B81+7</f>
        <v>43555</v>
      </c>
      <c r="C82" s="20">
        <f>D81+G81-H81</f>
        <v>5653.3337691713996</v>
      </c>
      <c r="D82" s="17">
        <f>C82+(C82*0.03)</f>
        <v>5822.9337822465413</v>
      </c>
      <c r="E82" s="17">
        <f>C82/3250</f>
        <v>1.7394873135911999</v>
      </c>
      <c r="F82" s="28">
        <f>(D82-C82)/E82</f>
        <v>97.499999999999872</v>
      </c>
      <c r="G82" s="80"/>
      <c r="H82" s="80"/>
      <c r="I82" s="19">
        <f>E82*50/C82</f>
        <v>1.5384615384615385E-2</v>
      </c>
      <c r="J82" s="85"/>
    </row>
    <row r="83" spans="1:11" ht="13" thickBot="1">
      <c r="A83" s="78"/>
      <c r="B83" s="13"/>
      <c r="C83" s="22"/>
      <c r="D83" s="23"/>
      <c r="E83" s="23"/>
      <c r="F83" s="27"/>
      <c r="G83" s="23"/>
      <c r="H83" s="10"/>
      <c r="I83" s="24"/>
      <c r="J83" s="86"/>
    </row>
    <row r="84" spans="1:11">
      <c r="A84" s="103">
        <v>17</v>
      </c>
      <c r="B84" s="81">
        <f>B82+7</f>
        <v>43562</v>
      </c>
      <c r="C84" s="20">
        <f>D82+G82-H82</f>
        <v>5822.9337822465413</v>
      </c>
      <c r="D84" s="17">
        <f>C84+(C84*0.03)</f>
        <v>5997.6217957139379</v>
      </c>
      <c r="E84" s="17">
        <f>C84/3250</f>
        <v>1.7916719329989359</v>
      </c>
      <c r="F84" s="28">
        <f>(D84-C84)/E84</f>
        <v>97.500000000000171</v>
      </c>
      <c r="G84" s="18"/>
      <c r="H84" s="18"/>
      <c r="I84" s="19">
        <f>E84*50/C84</f>
        <v>1.5384615384615385E-2</v>
      </c>
      <c r="J84" s="85"/>
    </row>
    <row r="85" spans="1:11">
      <c r="A85" s="104"/>
      <c r="B85" s="81">
        <f>B84+7</f>
        <v>43569</v>
      </c>
      <c r="C85" s="20">
        <f>D84+G84-H84</f>
        <v>5997.6217957139379</v>
      </c>
      <c r="D85" s="17">
        <f>C85+(C85*0.03)</f>
        <v>6177.5504495853556</v>
      </c>
      <c r="E85" s="17">
        <f>C85/3250</f>
        <v>1.8454220909889039</v>
      </c>
      <c r="F85" s="28">
        <f>(D85-C85)/E85</f>
        <v>97.499999999999787</v>
      </c>
      <c r="G85" s="18"/>
      <c r="H85" s="18"/>
      <c r="I85" s="19">
        <f>E85*50/C85</f>
        <v>1.5384615384615384E-2</v>
      </c>
      <c r="J85" s="85"/>
    </row>
    <row r="86" spans="1:11">
      <c r="A86" s="104"/>
      <c r="B86" s="81">
        <f>B85+7</f>
        <v>43576</v>
      </c>
      <c r="C86" s="20">
        <f>D85+G85-H85</f>
        <v>6177.5504495853556</v>
      </c>
      <c r="D86" s="17">
        <f>C86+(C86*0.03)</f>
        <v>6362.8769630729166</v>
      </c>
      <c r="E86" s="17">
        <f>C86/3250</f>
        <v>1.9007847537185709</v>
      </c>
      <c r="F86" s="28">
        <f>(D86-C86)/E86</f>
        <v>97.500000000000171</v>
      </c>
      <c r="G86" s="18"/>
      <c r="H86" s="18"/>
      <c r="I86" s="19">
        <f>E86*50/C86</f>
        <v>1.5384615384615384E-2</v>
      </c>
      <c r="J86" s="85"/>
    </row>
    <row r="87" spans="1:11" ht="13" thickBot="1">
      <c r="A87" s="105"/>
      <c r="B87" s="81">
        <f>B86+7</f>
        <v>43583</v>
      </c>
      <c r="C87" s="20">
        <f>D86+G86-H86</f>
        <v>6362.8769630729166</v>
      </c>
      <c r="D87" s="17">
        <f>C87+(C87*0.03)</f>
        <v>6553.7632719651037</v>
      </c>
      <c r="E87" s="17">
        <f>C87/3250</f>
        <v>1.9578082963301282</v>
      </c>
      <c r="F87" s="28">
        <f>(D87-C87)/E87</f>
        <v>97.499999999999801</v>
      </c>
      <c r="G87" s="80"/>
      <c r="H87" s="80"/>
      <c r="I87" s="19">
        <f>E87*50/C87</f>
        <v>1.5384615384615384E-2</v>
      </c>
      <c r="J87" s="85"/>
    </row>
    <row r="88" spans="1:11" ht="13" thickBot="1">
      <c r="A88" s="78"/>
      <c r="B88" s="13"/>
      <c r="C88" s="22"/>
      <c r="D88" s="23"/>
      <c r="E88" s="23"/>
      <c r="F88" s="27"/>
      <c r="G88" s="23"/>
      <c r="H88" s="10"/>
      <c r="I88" s="24"/>
      <c r="J88" s="86"/>
    </row>
    <row r="89" spans="1:11">
      <c r="A89" s="103">
        <v>18</v>
      </c>
      <c r="B89" s="81">
        <f>B87+7</f>
        <v>43590</v>
      </c>
      <c r="C89" s="20">
        <f>D87+G87-H87</f>
        <v>6553.7632719651037</v>
      </c>
      <c r="D89" s="17">
        <f>C89+(C89*0.03)</f>
        <v>6750.3761701240564</v>
      </c>
      <c r="E89" s="17">
        <f>C89/3250</f>
        <v>2.0165425452200321</v>
      </c>
      <c r="F89" s="28">
        <f>(D89-C89)/E89</f>
        <v>97.499999999999787</v>
      </c>
      <c r="G89" s="18"/>
      <c r="H89" s="18"/>
      <c r="I89" s="19">
        <f>E89*50/C89</f>
        <v>1.5384615384615385E-2</v>
      </c>
      <c r="J89" s="85"/>
    </row>
    <row r="90" spans="1:11">
      <c r="A90" s="104"/>
      <c r="B90" s="81">
        <f>B89+7</f>
        <v>43597</v>
      </c>
      <c r="C90" s="20">
        <f>D89+G89-H89</f>
        <v>6750.3761701240564</v>
      </c>
      <c r="D90" s="17">
        <f>C90+(C90*0.03)</f>
        <v>6952.8874552277784</v>
      </c>
      <c r="E90" s="17">
        <f>C90/3250</f>
        <v>2.0770388215766329</v>
      </c>
      <c r="F90" s="28">
        <f>(D90-C90)/E90</f>
        <v>97.500000000000142</v>
      </c>
      <c r="G90" s="18"/>
      <c r="H90" s="18"/>
      <c r="I90" s="19">
        <f>E90*50/C90</f>
        <v>1.5384615384615385E-2</v>
      </c>
      <c r="J90" s="85"/>
    </row>
    <row r="91" spans="1:11">
      <c r="A91" s="104"/>
      <c r="B91" s="81">
        <f>B90+7</f>
        <v>43604</v>
      </c>
      <c r="C91" s="20">
        <f>D90+G90-H90</f>
        <v>6952.8874552277784</v>
      </c>
      <c r="D91" s="17">
        <f>C91+(C91*0.03)</f>
        <v>7161.474078884612</v>
      </c>
      <c r="E91" s="17">
        <f>C91/3250</f>
        <v>2.139349986223932</v>
      </c>
      <c r="F91" s="28">
        <f>(D91-C91)/E91</f>
        <v>97.500000000000099</v>
      </c>
      <c r="G91" s="18"/>
      <c r="H91" s="18"/>
      <c r="I91" s="19">
        <f>E91*50/C91</f>
        <v>1.5384615384615387E-2</v>
      </c>
      <c r="J91" s="85"/>
    </row>
    <row r="92" spans="1:11" ht="13.5" thickBot="1">
      <c r="A92" s="105"/>
      <c r="B92" s="81">
        <f>B91+7</f>
        <v>43611</v>
      </c>
      <c r="C92" s="20">
        <f>D91+G91-H91</f>
        <v>7161.474078884612</v>
      </c>
      <c r="D92" s="17">
        <f>C92+(C92*0.03)</f>
        <v>7376.3183012511508</v>
      </c>
      <c r="E92" s="17">
        <f>C92/3250</f>
        <v>2.2035304858106497</v>
      </c>
      <c r="F92" s="28">
        <f>(D92-C92)/E92</f>
        <v>97.500000000000213</v>
      </c>
      <c r="G92" s="80"/>
      <c r="H92" s="80">
        <f>(D92-C79)*0.35</f>
        <v>770.95096919903449</v>
      </c>
      <c r="I92" s="19">
        <f>E92*50/C92</f>
        <v>1.5384615384615384E-2</v>
      </c>
      <c r="J92" s="85"/>
      <c r="K92" s="102" t="s">
        <v>49</v>
      </c>
    </row>
    <row r="93" spans="1:11" ht="13" thickBot="1">
      <c r="A93" s="78"/>
      <c r="B93" s="13"/>
      <c r="C93" s="22"/>
      <c r="D93" s="23"/>
      <c r="E93" s="23"/>
      <c r="F93" s="27"/>
      <c r="G93" s="23"/>
      <c r="H93" s="10"/>
      <c r="I93" s="24"/>
      <c r="J93" s="86"/>
    </row>
    <row r="94" spans="1:11">
      <c r="A94" s="103">
        <v>19</v>
      </c>
      <c r="B94" s="81">
        <f>B92+7</f>
        <v>43618</v>
      </c>
      <c r="C94" s="20">
        <f>D92+G92-H92</f>
        <v>6605.3673320521166</v>
      </c>
      <c r="D94" s="17">
        <f>C94+(C94*0.03)</f>
        <v>6803.52835201368</v>
      </c>
      <c r="E94" s="17">
        <f>C94/3250</f>
        <v>2.0324207175544973</v>
      </c>
      <c r="F94" s="28">
        <f>(D94-C94)/E94</f>
        <v>97.499999999999957</v>
      </c>
      <c r="G94" s="17"/>
      <c r="H94" s="18"/>
      <c r="I94" s="19">
        <f>E94*50/C94</f>
        <v>1.5384615384615384E-2</v>
      </c>
      <c r="J94" s="85"/>
    </row>
    <row r="95" spans="1:11">
      <c r="A95" s="104"/>
      <c r="B95" s="81">
        <f>B94+7</f>
        <v>43625</v>
      </c>
      <c r="C95" s="20">
        <f>D94+G94-H94</f>
        <v>6803.52835201368</v>
      </c>
      <c r="D95" s="17">
        <f>C95+(C95*0.03)</f>
        <v>7007.6342025740905</v>
      </c>
      <c r="E95" s="17">
        <f>C95/3250</f>
        <v>2.0933933390811323</v>
      </c>
      <c r="F95" s="28">
        <f>(D95-C95)/E95</f>
        <v>97.500000000000071</v>
      </c>
      <c r="G95" s="17"/>
      <c r="H95" s="18"/>
      <c r="I95" s="19">
        <f>E95*50/C95</f>
        <v>1.5384615384615385E-2</v>
      </c>
      <c r="J95" s="85"/>
    </row>
    <row r="96" spans="1:11">
      <c r="A96" s="104"/>
      <c r="B96" s="81">
        <f>B95+7</f>
        <v>43632</v>
      </c>
      <c r="C96" s="20">
        <f>D95+G95-H95</f>
        <v>7007.6342025740905</v>
      </c>
      <c r="D96" s="17">
        <f>C96+(C96*0.03)</f>
        <v>7217.863228651313</v>
      </c>
      <c r="E96" s="17">
        <f>C96/3250</f>
        <v>2.1561951392535663</v>
      </c>
      <c r="F96" s="28">
        <f>(D96-C96)/E96</f>
        <v>97.499999999999872</v>
      </c>
      <c r="G96" s="17"/>
      <c r="H96" s="18"/>
      <c r="I96" s="19">
        <f>E96*50/C96</f>
        <v>1.5384615384615385E-2</v>
      </c>
      <c r="J96" s="85"/>
    </row>
    <row r="97" spans="1:11" ht="13" thickBot="1">
      <c r="A97" s="105"/>
      <c r="B97" s="81">
        <f>B96+7</f>
        <v>43639</v>
      </c>
      <c r="C97" s="20">
        <f>D96+G96-H96</f>
        <v>7217.863228651313</v>
      </c>
      <c r="D97" s="17">
        <f>C97+(C97*0.03)</f>
        <v>7434.3991255108522</v>
      </c>
      <c r="E97" s="17">
        <f>C97/3250</f>
        <v>2.2208809934311731</v>
      </c>
      <c r="F97" s="28">
        <f>(D97-C97)/E97</f>
        <v>97.499999999999929</v>
      </c>
      <c r="G97" s="80"/>
      <c r="H97" s="80"/>
      <c r="I97" s="19">
        <f>E97*50/C97</f>
        <v>1.5384615384615384E-2</v>
      </c>
      <c r="J97" s="85"/>
    </row>
    <row r="98" spans="1:11" ht="13" thickBot="1">
      <c r="A98" s="78"/>
      <c r="B98" s="13"/>
      <c r="C98" s="22"/>
      <c r="D98" s="23"/>
      <c r="E98" s="23"/>
      <c r="F98" s="27"/>
      <c r="G98" s="23"/>
      <c r="H98" s="10"/>
      <c r="I98" s="24"/>
      <c r="J98" s="86"/>
    </row>
    <row r="99" spans="1:11">
      <c r="A99" s="103">
        <v>20</v>
      </c>
      <c r="B99" s="81">
        <f>B97+7</f>
        <v>43646</v>
      </c>
      <c r="C99" s="20">
        <f>D97+G97-H97</f>
        <v>7434.3991255108522</v>
      </c>
      <c r="D99" s="17">
        <f>C99+(C99*0.03)</f>
        <v>7657.4310992761775</v>
      </c>
      <c r="E99" s="17">
        <f>C99/3250</f>
        <v>2.2875074232341084</v>
      </c>
      <c r="F99" s="28">
        <f>(D99-C99)/E99</f>
        <v>97.499999999999901</v>
      </c>
      <c r="G99" s="18"/>
      <c r="H99" s="18"/>
      <c r="I99" s="19">
        <f>E99*50/C99</f>
        <v>1.5384615384615384E-2</v>
      </c>
      <c r="J99" s="85"/>
    </row>
    <row r="100" spans="1:11">
      <c r="A100" s="104"/>
      <c r="B100" s="81">
        <f>B99+7</f>
        <v>43653</v>
      </c>
      <c r="C100" s="20">
        <f>D99+G99-H99</f>
        <v>7657.4310992761775</v>
      </c>
      <c r="D100" s="17">
        <f>C100+(C100*0.03)</f>
        <v>7887.1540322544624</v>
      </c>
      <c r="E100" s="17">
        <f>C100/3250</f>
        <v>2.3561326459311314</v>
      </c>
      <c r="F100" s="28">
        <f>(D100-C100)/E100</f>
        <v>97.499999999999829</v>
      </c>
      <c r="G100" s="18"/>
      <c r="H100" s="18"/>
      <c r="I100" s="19">
        <f>E100*50/C100</f>
        <v>1.5384615384615384E-2</v>
      </c>
      <c r="J100" s="85"/>
    </row>
    <row r="101" spans="1:11">
      <c r="A101" s="104"/>
      <c r="B101" s="81">
        <f>B100+7</f>
        <v>43660</v>
      </c>
      <c r="C101" s="20">
        <f>D100+G100-H100</f>
        <v>7887.1540322544624</v>
      </c>
      <c r="D101" s="17">
        <f>C101+(C101*0.03)</f>
        <v>8123.768653222096</v>
      </c>
      <c r="E101" s="17">
        <f>C101/3250</f>
        <v>2.4268166253090655</v>
      </c>
      <c r="F101" s="28">
        <f>(D101-C101)/E101</f>
        <v>97.499999999999858</v>
      </c>
      <c r="G101" s="18"/>
      <c r="H101" s="18"/>
      <c r="I101" s="19">
        <f>E101*50/C101</f>
        <v>1.5384615384615385E-2</v>
      </c>
      <c r="J101" s="85"/>
    </row>
    <row r="102" spans="1:11" ht="13" thickBot="1">
      <c r="A102" s="105"/>
      <c r="B102" s="81">
        <f>B101+7</f>
        <v>43667</v>
      </c>
      <c r="C102" s="20">
        <f>D101+G101-H101</f>
        <v>8123.768653222096</v>
      </c>
      <c r="D102" s="17">
        <f>C102+(C102*0.03)</f>
        <v>8367.4817128187588</v>
      </c>
      <c r="E102" s="17">
        <f>C102/3250</f>
        <v>2.4996211240683373</v>
      </c>
      <c r="F102" s="28">
        <f>(D102-C102)/E102</f>
        <v>97.499999999999957</v>
      </c>
      <c r="G102" s="80"/>
      <c r="H102" s="80"/>
      <c r="I102" s="19">
        <f>E102*50/C102</f>
        <v>1.5384615384615385E-2</v>
      </c>
      <c r="J102" s="85"/>
    </row>
    <row r="103" spans="1:11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6"/>
    </row>
    <row r="104" spans="1:11">
      <c r="A104" s="103">
        <v>21</v>
      </c>
      <c r="B104" s="81">
        <f>B102+7</f>
        <v>43674</v>
      </c>
      <c r="C104" s="20">
        <f>D102+G102-H102</f>
        <v>8367.4817128187588</v>
      </c>
      <c r="D104" s="17">
        <f>C104+(C104*0.03)</f>
        <v>8618.5061642033215</v>
      </c>
      <c r="E104" s="17">
        <f>C104/3250</f>
        <v>2.5746097577903875</v>
      </c>
      <c r="F104" s="28">
        <f>(D104-C104)/E104</f>
        <v>97.5</v>
      </c>
      <c r="G104" s="18"/>
      <c r="H104" s="18"/>
      <c r="I104" s="19">
        <f>E104*50/C104</f>
        <v>1.5384615384615385E-2</v>
      </c>
      <c r="J104" s="85"/>
    </row>
    <row r="105" spans="1:11">
      <c r="A105" s="104"/>
      <c r="B105" s="81">
        <f>B104+7</f>
        <v>43681</v>
      </c>
      <c r="C105" s="20">
        <f>D104+G104-H104</f>
        <v>8618.5061642033215</v>
      </c>
      <c r="D105" s="17">
        <f>C105+(C105*0.03)</f>
        <v>8877.0613491294207</v>
      </c>
      <c r="E105" s="17">
        <f>C105/3250</f>
        <v>2.6518480505240989</v>
      </c>
      <c r="F105" s="28">
        <f>(D105-C105)/E105</f>
        <v>97.499999999999829</v>
      </c>
      <c r="G105" s="18"/>
      <c r="H105" s="18"/>
      <c r="I105" s="19">
        <f>E105*50/C105</f>
        <v>1.5384615384615385E-2</v>
      </c>
      <c r="J105" s="85"/>
    </row>
    <row r="106" spans="1:11">
      <c r="A106" s="104"/>
      <c r="B106" s="81">
        <f>B105+7</f>
        <v>43688</v>
      </c>
      <c r="C106" s="20">
        <f>D105+G105-H105</f>
        <v>8877.0613491294207</v>
      </c>
      <c r="D106" s="17">
        <f>C106+(C106*0.03)</f>
        <v>9143.3731896033041</v>
      </c>
      <c r="E106" s="17">
        <f>C106/3250</f>
        <v>2.7314034920398216</v>
      </c>
      <c r="F106" s="28">
        <f>(D106-C106)/E106</f>
        <v>97.500000000000298</v>
      </c>
      <c r="G106" s="18"/>
      <c r="H106" s="18"/>
      <c r="I106" s="19">
        <f>E106*50/C106</f>
        <v>1.5384615384615384E-2</v>
      </c>
      <c r="J106" s="85"/>
    </row>
    <row r="107" spans="1:11" ht="13.5" thickBot="1">
      <c r="A107" s="105"/>
      <c r="B107" s="81">
        <f>B106+7</f>
        <v>43695</v>
      </c>
      <c r="C107" s="20">
        <f>D106+G106-H106</f>
        <v>9143.3731896033041</v>
      </c>
      <c r="D107" s="17">
        <f>C107+(C107*0.03)</f>
        <v>9417.6743852914042</v>
      </c>
      <c r="E107" s="17">
        <f>C107/3250</f>
        <v>2.8133455968010166</v>
      </c>
      <c r="F107" s="28">
        <f>(D107-C107)/E107</f>
        <v>97.500000000000327</v>
      </c>
      <c r="G107" s="80"/>
      <c r="H107" s="80">
        <f>(D107-C94)*0.35</f>
        <v>984.30746863375055</v>
      </c>
      <c r="I107" s="19">
        <f>E107*50/C107</f>
        <v>1.5384615384615385E-2</v>
      </c>
      <c r="J107" s="85"/>
      <c r="K107" s="102" t="s">
        <v>49</v>
      </c>
    </row>
    <row r="108" spans="1:11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6"/>
    </row>
    <row r="109" spans="1:11">
      <c r="A109" s="103">
        <v>22</v>
      </c>
      <c r="B109" s="81">
        <f>B107+7</f>
        <v>43702</v>
      </c>
      <c r="C109" s="20">
        <f>D107+G107-H107</f>
        <v>8433.3669166576528</v>
      </c>
      <c r="D109" s="17">
        <f>C109+(C109*0.03)</f>
        <v>8686.3679241573827</v>
      </c>
      <c r="E109" s="17">
        <f>C109/3250</f>
        <v>2.5948821282023546</v>
      </c>
      <c r="F109" s="28">
        <f>(D109-C109)/E109</f>
        <v>97.500000000000128</v>
      </c>
      <c r="G109" s="18"/>
      <c r="H109" s="18"/>
      <c r="I109" s="19">
        <f>E109*50/C109</f>
        <v>1.5384615384615384E-2</v>
      </c>
      <c r="J109" s="85"/>
    </row>
    <row r="110" spans="1:11">
      <c r="A110" s="104"/>
      <c r="B110" s="81">
        <f>B109+7</f>
        <v>43709</v>
      </c>
      <c r="C110" s="20">
        <f>D109+G109-H109</f>
        <v>8686.3679241573827</v>
      </c>
      <c r="D110" s="17">
        <f>C110+(C110*0.03)</f>
        <v>8946.9589618821046</v>
      </c>
      <c r="E110" s="17">
        <f>C110/3250</f>
        <v>2.6727285920484256</v>
      </c>
      <c r="F110" s="28">
        <f>(D110-C110)/E110</f>
        <v>97.500000000000156</v>
      </c>
      <c r="G110" s="18"/>
      <c r="H110" s="18"/>
      <c r="I110" s="19">
        <f>E110*50/C110</f>
        <v>1.5384615384615385E-2</v>
      </c>
      <c r="J110" s="85"/>
    </row>
    <row r="111" spans="1:11">
      <c r="A111" s="104"/>
      <c r="B111" s="81">
        <f>B110+7</f>
        <v>43716</v>
      </c>
      <c r="C111" s="20">
        <f>D110+G110-H110</f>
        <v>8946.9589618821046</v>
      </c>
      <c r="D111" s="17">
        <f>C111+(C111*0.03)</f>
        <v>9215.3677307385678</v>
      </c>
      <c r="E111" s="17">
        <f>C111/3250</f>
        <v>2.7529104498098782</v>
      </c>
      <c r="F111" s="28">
        <f>(D111-C111)/E111</f>
        <v>97.500000000000028</v>
      </c>
      <c r="G111" s="18"/>
      <c r="H111" s="18"/>
      <c r="I111" s="19">
        <f>E111*50/C111</f>
        <v>1.5384615384615384E-2</v>
      </c>
      <c r="J111" s="85"/>
    </row>
    <row r="112" spans="1:11" ht="13" thickBot="1">
      <c r="A112" s="105"/>
      <c r="B112" s="81">
        <f>B111+7</f>
        <v>43723</v>
      </c>
      <c r="C112" s="20">
        <f>D111+G111-H111</f>
        <v>9215.3677307385678</v>
      </c>
      <c r="D112" s="17">
        <f>C112+(C112*0.03)</f>
        <v>9491.8287626607253</v>
      </c>
      <c r="E112" s="17">
        <f>C112/3250</f>
        <v>2.8354977633041747</v>
      </c>
      <c r="F112" s="28">
        <f>(D112-C112)/E112</f>
        <v>97.500000000000142</v>
      </c>
      <c r="G112" s="80"/>
      <c r="H112" s="80"/>
      <c r="I112" s="19">
        <f>E112*50/C112</f>
        <v>1.5384615384615384E-2</v>
      </c>
      <c r="J112" s="85"/>
    </row>
    <row r="113" spans="1:11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6"/>
    </row>
    <row r="114" spans="1:11">
      <c r="A114" s="103">
        <v>23</v>
      </c>
      <c r="B114" s="81">
        <f>B112+7</f>
        <v>43730</v>
      </c>
      <c r="C114" s="20">
        <f>D112+G112-H112</f>
        <v>9491.8287626607253</v>
      </c>
      <c r="D114" s="17">
        <f>C114+(C114*0.03)</f>
        <v>9776.5836255405466</v>
      </c>
      <c r="E114" s="17">
        <f>C114/3250</f>
        <v>2.9205626962033002</v>
      </c>
      <c r="F114" s="28">
        <f>(D114-C114)/E114</f>
        <v>97.499999999999844</v>
      </c>
      <c r="G114" s="18"/>
      <c r="H114" s="18"/>
      <c r="I114" s="19">
        <f>E114*50/C114</f>
        <v>1.5384615384615384E-2</v>
      </c>
      <c r="J114" s="85"/>
    </row>
    <row r="115" spans="1:11">
      <c r="A115" s="104"/>
      <c r="B115" s="81">
        <f>B114+7</f>
        <v>43737</v>
      </c>
      <c r="C115" s="20">
        <f>D114+G114-H114</f>
        <v>9776.5836255405466</v>
      </c>
      <c r="D115" s="17">
        <f>C115+(C115*0.03)</f>
        <v>10069.881134306763</v>
      </c>
      <c r="E115" s="17">
        <f>C115/3250</f>
        <v>3.0081795770893991</v>
      </c>
      <c r="F115" s="28">
        <f>(D115-C115)/E115</f>
        <v>97.499999999999929</v>
      </c>
      <c r="G115" s="18"/>
      <c r="H115" s="18"/>
      <c r="I115" s="19">
        <f>E115*50/C115</f>
        <v>1.5384615384615385E-2</v>
      </c>
      <c r="J115" s="85"/>
    </row>
    <row r="116" spans="1:11">
      <c r="A116" s="104"/>
      <c r="B116" s="81">
        <f>B115+7</f>
        <v>43744</v>
      </c>
      <c r="C116" s="20">
        <f>D115+G115-H115</f>
        <v>10069.881134306763</v>
      </c>
      <c r="D116" s="17">
        <f>C116+(C116*0.03)</f>
        <v>10371.977568335966</v>
      </c>
      <c r="E116" s="17">
        <f>C116/3250</f>
        <v>3.0984249644020809</v>
      </c>
      <c r="F116" s="28">
        <f>(D116-C116)/E116</f>
        <v>97.500000000000043</v>
      </c>
      <c r="G116" s="18"/>
      <c r="H116" s="18"/>
      <c r="I116" s="19">
        <f>E116*50/C116</f>
        <v>1.5384615384615385E-2</v>
      </c>
      <c r="J116" s="85"/>
    </row>
    <row r="117" spans="1:11" ht="13" thickBot="1">
      <c r="A117" s="105"/>
      <c r="B117" s="81">
        <f>B116+7</f>
        <v>43751</v>
      </c>
      <c r="C117" s="20">
        <f>D116+G116-H116</f>
        <v>10371.977568335966</v>
      </c>
      <c r="D117" s="17">
        <f>C117+(C117*0.03)</f>
        <v>10683.136895386046</v>
      </c>
      <c r="E117" s="17">
        <f>C117/3250</f>
        <v>3.1913777133341434</v>
      </c>
      <c r="F117" s="28">
        <f>(D117-C117)/E117</f>
        <v>97.500000000000256</v>
      </c>
      <c r="G117" s="80"/>
      <c r="H117" s="80"/>
      <c r="I117" s="19">
        <f>E117*50/C117</f>
        <v>1.5384615384615384E-2</v>
      </c>
      <c r="J117" s="85"/>
    </row>
    <row r="118" spans="1:11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6"/>
    </row>
    <row r="119" spans="1:11">
      <c r="A119" s="103">
        <v>24</v>
      </c>
      <c r="B119" s="81">
        <f>B117+7</f>
        <v>43758</v>
      </c>
      <c r="C119" s="20">
        <f>D117+G117-H117</f>
        <v>10683.136895386046</v>
      </c>
      <c r="D119" s="17">
        <f>C119+(C119*0.03)</f>
        <v>11003.631002247626</v>
      </c>
      <c r="E119" s="17">
        <f>C119/3250</f>
        <v>3.287119044734168</v>
      </c>
      <c r="F119" s="28">
        <f>(D119-C119)/E119</f>
        <v>97.499999999999829</v>
      </c>
      <c r="G119" s="18"/>
      <c r="H119" s="18"/>
      <c r="I119" s="19">
        <f>E119*50/C119</f>
        <v>1.5384615384615384E-2</v>
      </c>
      <c r="J119" s="85"/>
    </row>
    <row r="120" spans="1:11">
      <c r="A120" s="104"/>
      <c r="B120" s="81">
        <f>B119+7</f>
        <v>43765</v>
      </c>
      <c r="C120" s="20">
        <f>D119+G119-H119</f>
        <v>11003.631002247626</v>
      </c>
      <c r="D120" s="17">
        <f>C120+(C120*0.03)</f>
        <v>11333.739932315055</v>
      </c>
      <c r="E120" s="17">
        <f>C120/3250</f>
        <v>3.3857326160761927</v>
      </c>
      <c r="F120" s="28">
        <f>(D120-C120)/E120</f>
        <v>97.499999999999901</v>
      </c>
      <c r="G120" s="18"/>
      <c r="H120" s="18"/>
      <c r="I120" s="19">
        <f>E120*50/C120</f>
        <v>1.5384615384615384E-2</v>
      </c>
      <c r="J120" s="85"/>
    </row>
    <row r="121" spans="1:11">
      <c r="A121" s="104"/>
      <c r="B121" s="81">
        <f>B120+7</f>
        <v>43772</v>
      </c>
      <c r="C121" s="20">
        <f>D120+G120-H120</f>
        <v>11333.739932315055</v>
      </c>
      <c r="D121" s="17">
        <f>C121+(C121*0.03)</f>
        <v>11673.752130284507</v>
      </c>
      <c r="E121" s="17">
        <f>C121/3250</f>
        <v>3.4873045945584784</v>
      </c>
      <c r="F121" s="28">
        <f>(D121-C121)/E121</f>
        <v>97.500000000000171</v>
      </c>
      <c r="G121" s="18"/>
      <c r="H121" s="18"/>
      <c r="I121" s="19">
        <f>E121*50/C121</f>
        <v>1.5384615384615384E-2</v>
      </c>
      <c r="J121" s="85"/>
    </row>
    <row r="122" spans="1:11" ht="13.5" thickBot="1">
      <c r="A122" s="105"/>
      <c r="B122" s="81">
        <f>B121+7</f>
        <v>43779</v>
      </c>
      <c r="C122" s="20">
        <f>D121+G121-H121</f>
        <v>11673.752130284507</v>
      </c>
      <c r="D122" s="17">
        <f>C122+(C122*0.03)</f>
        <v>12023.964694193042</v>
      </c>
      <c r="E122" s="17">
        <f>C122/3250</f>
        <v>3.5919237323952329</v>
      </c>
      <c r="F122" s="28">
        <f>(D122-C122)/E122</f>
        <v>97.5</v>
      </c>
      <c r="G122" s="80"/>
      <c r="H122" s="80">
        <f>(D122-C109)*0.35</f>
        <v>1256.7092221373862</v>
      </c>
      <c r="I122" s="19">
        <f>E122*50/C122</f>
        <v>1.5384615384615385E-2</v>
      </c>
      <c r="J122" s="85"/>
      <c r="K122" s="102" t="s">
        <v>49</v>
      </c>
    </row>
    <row r="123" spans="1:11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6"/>
    </row>
    <row r="124" spans="1:11">
      <c r="A124" s="103">
        <v>25</v>
      </c>
      <c r="B124" s="81">
        <f>B122+7</f>
        <v>43786</v>
      </c>
      <c r="C124" s="20">
        <f>D122+G122-H122</f>
        <v>10767.255472055656</v>
      </c>
      <c r="D124" s="17">
        <f>C124+(C124*0.03)</f>
        <v>11090.273136217325</v>
      </c>
      <c r="E124" s="17">
        <f>C124/3250</f>
        <v>3.3130016837094329</v>
      </c>
      <c r="F124" s="28">
        <f>(D124-C124)/E124</f>
        <v>97.499999999999787</v>
      </c>
      <c r="G124" s="17"/>
      <c r="H124" s="18"/>
      <c r="I124" s="19">
        <f>E124*50/C124</f>
        <v>1.5384615384615387E-2</v>
      </c>
      <c r="J124" s="85"/>
    </row>
    <row r="125" spans="1:11">
      <c r="A125" s="104"/>
      <c r="B125" s="81">
        <f>B124+7</f>
        <v>43793</v>
      </c>
      <c r="C125" s="20">
        <f>D124+G124-H124</f>
        <v>11090.273136217325</v>
      </c>
      <c r="D125" s="17">
        <f>C125+(C125*0.03)</f>
        <v>11422.981330303845</v>
      </c>
      <c r="E125" s="17">
        <f>C125/3250</f>
        <v>3.4123917342207153</v>
      </c>
      <c r="F125" s="28">
        <f>(D125-C125)/E125</f>
        <v>97.499999999999829</v>
      </c>
      <c r="G125" s="17"/>
      <c r="H125" s="18"/>
      <c r="I125" s="19">
        <f>E125*50/C125</f>
        <v>1.5384615384615384E-2</v>
      </c>
      <c r="J125" s="85"/>
    </row>
    <row r="126" spans="1:11">
      <c r="A126" s="104"/>
      <c r="B126" s="81">
        <f>B125+7</f>
        <v>43800</v>
      </c>
      <c r="C126" s="20">
        <f>D125+G125-H125</f>
        <v>11422.981330303845</v>
      </c>
      <c r="D126" s="17">
        <f>C126+(C126*0.03)</f>
        <v>11765.670770212961</v>
      </c>
      <c r="E126" s="17">
        <f>C126/3250</f>
        <v>3.5147634862473369</v>
      </c>
      <c r="F126" s="28">
        <f>(D126-C126)/E126</f>
        <v>97.500000000000213</v>
      </c>
      <c r="G126" s="17"/>
      <c r="H126" s="18"/>
      <c r="I126" s="19">
        <f>E126*50/C126</f>
        <v>1.5384615384615385E-2</v>
      </c>
      <c r="J126" s="85"/>
    </row>
    <row r="127" spans="1:11" ht="13" thickBot="1">
      <c r="A127" s="105"/>
      <c r="B127" s="81">
        <f>B126+7</f>
        <v>43807</v>
      </c>
      <c r="C127" s="20">
        <f>D126+G126-H126</f>
        <v>11765.670770212961</v>
      </c>
      <c r="D127" s="17">
        <f>C127+(C127*0.03)</f>
        <v>12118.640893319349</v>
      </c>
      <c r="E127" s="17">
        <f>C127/3250</f>
        <v>3.620206390834757</v>
      </c>
      <c r="F127" s="28">
        <f>(D127-C127)/E127</f>
        <v>97.499999999999829</v>
      </c>
      <c r="G127" s="80"/>
      <c r="H127" s="80"/>
      <c r="I127" s="19">
        <f>E127*50/C127</f>
        <v>1.5384615384615385E-2</v>
      </c>
      <c r="J127" s="85"/>
    </row>
    <row r="128" spans="1:11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6"/>
    </row>
    <row r="129" spans="1:11">
      <c r="A129" s="103">
        <v>26</v>
      </c>
      <c r="B129" s="81">
        <f>B127+7</f>
        <v>43814</v>
      </c>
      <c r="C129" s="20">
        <f>D127+G127-H127</f>
        <v>12118.640893319349</v>
      </c>
      <c r="D129" s="17">
        <f>C129+(C129*0.03)</f>
        <v>12482.200120118929</v>
      </c>
      <c r="E129" s="17">
        <f>C129/3250</f>
        <v>3.7288125825597995</v>
      </c>
      <c r="F129" s="28">
        <f>(D129-C129)/E129</f>
        <v>97.499999999999844</v>
      </c>
      <c r="G129" s="18"/>
      <c r="H129" s="18"/>
      <c r="I129" s="19">
        <f>E129*50/C129</f>
        <v>1.5384615384615384E-2</v>
      </c>
      <c r="J129" s="85"/>
    </row>
    <row r="130" spans="1:11">
      <c r="A130" s="104"/>
      <c r="B130" s="81">
        <f>B129+7</f>
        <v>43821</v>
      </c>
      <c r="C130" s="20">
        <f>D129+G129-H129</f>
        <v>12482.200120118929</v>
      </c>
      <c r="D130" s="17">
        <f>C130+(C130*0.03)</f>
        <v>12856.666123722496</v>
      </c>
      <c r="E130" s="17">
        <f>C130/3250</f>
        <v>3.8406769600365935</v>
      </c>
      <c r="F130" s="28">
        <f>(D130-C130)/E130</f>
        <v>97.499999999999901</v>
      </c>
      <c r="G130" s="18"/>
      <c r="H130" s="18"/>
      <c r="I130" s="19">
        <f>E130*50/C130</f>
        <v>1.5384615384615385E-2</v>
      </c>
      <c r="J130" s="85"/>
    </row>
    <row r="131" spans="1:11">
      <c r="A131" s="104"/>
      <c r="B131" s="81">
        <f>B130+7</f>
        <v>43828</v>
      </c>
      <c r="C131" s="20">
        <f>D130+G130-H130</f>
        <v>12856.666123722496</v>
      </c>
      <c r="D131" s="17">
        <f>C131+(C131*0.03)</f>
        <v>13242.366107434171</v>
      </c>
      <c r="E131" s="17">
        <f>C131/3250</f>
        <v>3.955897268837691</v>
      </c>
      <c r="F131" s="28">
        <f>(D131-C131)/E131</f>
        <v>97.499999999999929</v>
      </c>
      <c r="G131" s="18"/>
      <c r="H131" s="18"/>
      <c r="I131" s="19">
        <f>E131*50/C131</f>
        <v>1.5384615384615385E-2</v>
      </c>
      <c r="J131" s="85"/>
    </row>
    <row r="132" spans="1:11" ht="13" thickBot="1">
      <c r="A132" s="105"/>
      <c r="B132" s="81">
        <f>B131+7</f>
        <v>43835</v>
      </c>
      <c r="C132" s="20">
        <f>D131+G131-H131</f>
        <v>13242.366107434171</v>
      </c>
      <c r="D132" s="17">
        <f>C132+(C132*0.03)</f>
        <v>13639.637090657196</v>
      </c>
      <c r="E132" s="17">
        <f>C132/3250</f>
        <v>4.0745741869028214</v>
      </c>
      <c r="F132" s="28">
        <f>(D132-C132)/E132</f>
        <v>97.499999999999929</v>
      </c>
      <c r="G132" s="80"/>
      <c r="H132" s="80"/>
      <c r="I132" s="19">
        <f>E132*50/C132</f>
        <v>1.5384615384615382E-2</v>
      </c>
      <c r="J132" s="85"/>
    </row>
    <row r="133" spans="1:11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6"/>
    </row>
    <row r="134" spans="1:11">
      <c r="A134" s="103">
        <v>27</v>
      </c>
      <c r="B134" s="81">
        <f>B132+7</f>
        <v>43842</v>
      </c>
      <c r="C134" s="20">
        <f>D132+G132-H132</f>
        <v>13639.637090657196</v>
      </c>
      <c r="D134" s="17">
        <f>C134+(C134*0.03)</f>
        <v>14048.826203376912</v>
      </c>
      <c r="E134" s="17">
        <f>C134/3250</f>
        <v>4.1968114125099065</v>
      </c>
      <c r="F134" s="28">
        <f>(D134-C134)/E134</f>
        <v>97.500000000000014</v>
      </c>
      <c r="G134" s="18"/>
      <c r="H134" s="18"/>
      <c r="I134" s="19">
        <f>E134*50/C134</f>
        <v>1.5384615384615385E-2</v>
      </c>
      <c r="J134" s="85"/>
    </row>
    <row r="135" spans="1:11">
      <c r="A135" s="104"/>
      <c r="B135" s="81">
        <f>B134+7</f>
        <v>43849</v>
      </c>
      <c r="C135" s="20">
        <f>D134+G134-H134</f>
        <v>14048.826203376912</v>
      </c>
      <c r="D135" s="17">
        <f>C135+(C135*0.03)</f>
        <v>14470.290989478219</v>
      </c>
      <c r="E135" s="17">
        <f>C135/3250</f>
        <v>4.3227157548852038</v>
      </c>
      <c r="F135" s="28">
        <f>(D135-C135)/E135</f>
        <v>97.499999999999972</v>
      </c>
      <c r="G135" s="18"/>
      <c r="H135" s="18"/>
      <c r="I135" s="19">
        <f>E135*50/C135</f>
        <v>1.5384615384615385E-2</v>
      </c>
      <c r="J135" s="85"/>
    </row>
    <row r="136" spans="1:11">
      <c r="A136" s="104"/>
      <c r="B136" s="81">
        <f>B135+7</f>
        <v>43856</v>
      </c>
      <c r="C136" s="20">
        <f>D135+G135-H135</f>
        <v>14470.290989478219</v>
      </c>
      <c r="D136" s="17">
        <f>C136+(C136*0.03)</f>
        <v>14904.399719162566</v>
      </c>
      <c r="E136" s="17">
        <f>C136/3250</f>
        <v>4.45239722753176</v>
      </c>
      <c r="F136" s="28">
        <f>(D136-C136)/E136</f>
        <v>97.500000000000099</v>
      </c>
      <c r="G136" s="18"/>
      <c r="H136" s="18"/>
      <c r="I136" s="19">
        <f>E136*50/C136</f>
        <v>1.5384615384615385E-2</v>
      </c>
      <c r="J136" s="85"/>
    </row>
    <row r="137" spans="1:11" ht="13.5" thickBot="1">
      <c r="A137" s="105"/>
      <c r="B137" s="81">
        <f>B136+7</f>
        <v>43863</v>
      </c>
      <c r="C137" s="20">
        <f>D136+G136-H136</f>
        <v>14904.399719162566</v>
      </c>
      <c r="D137" s="17">
        <f>C137+(C137*0.03)</f>
        <v>15351.531710737443</v>
      </c>
      <c r="E137" s="17">
        <f>C137/3250</f>
        <v>4.5859691443577129</v>
      </c>
      <c r="F137" s="28">
        <f>(D137-C137)/E137</f>
        <v>97.500000000000057</v>
      </c>
      <c r="G137" s="80"/>
      <c r="H137" s="80">
        <f>(D137-C124)*0.35</f>
        <v>1604.4966835386253</v>
      </c>
      <c r="I137" s="19">
        <f>E137*50/C137</f>
        <v>1.5384615384615385E-2</v>
      </c>
      <c r="J137" s="85"/>
      <c r="K137" s="102" t="s">
        <v>49</v>
      </c>
    </row>
    <row r="138" spans="1:11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89"/>
    </row>
    <row r="139" spans="1:11">
      <c r="A139" s="103">
        <v>28</v>
      </c>
      <c r="B139" s="81">
        <f>B137+7</f>
        <v>43870</v>
      </c>
      <c r="C139" s="20">
        <f>D137+G137-H137</f>
        <v>13747.035027198817</v>
      </c>
      <c r="D139" s="17">
        <f>C139+(C139*0.03)</f>
        <v>14159.446078014782</v>
      </c>
      <c r="E139" s="17">
        <f>C139/3250</f>
        <v>4.2298569314457897</v>
      </c>
      <c r="F139" s="28">
        <f>(D139-C139)/E139</f>
        <v>97.500000000000043</v>
      </c>
      <c r="G139" s="18"/>
      <c r="H139" s="18"/>
      <c r="I139" s="19">
        <f>E139*50/C139</f>
        <v>1.5384615384615384E-2</v>
      </c>
      <c r="J139" s="85"/>
    </row>
    <row r="140" spans="1:11">
      <c r="A140" s="104"/>
      <c r="B140" s="81">
        <f>B139+7</f>
        <v>43877</v>
      </c>
      <c r="C140" s="20">
        <f>D139+G139-H139</f>
        <v>14159.446078014782</v>
      </c>
      <c r="D140" s="17">
        <f>C140+(C140*0.03)</f>
        <v>14584.229460355225</v>
      </c>
      <c r="E140" s="17">
        <f>C140/3250</f>
        <v>4.356752639389164</v>
      </c>
      <c r="F140" s="28">
        <f>(D140-C140)/E140</f>
        <v>97.5</v>
      </c>
      <c r="G140" s="18"/>
      <c r="H140" s="18"/>
      <c r="I140" s="19">
        <f>E140*50/C140</f>
        <v>1.5384615384615385E-2</v>
      </c>
      <c r="J140" s="85"/>
    </row>
    <row r="141" spans="1:11">
      <c r="A141" s="104"/>
      <c r="B141" s="81">
        <f>B140+7</f>
        <v>43884</v>
      </c>
      <c r="C141" s="20">
        <f>D140+G140-H140</f>
        <v>14584.229460355225</v>
      </c>
      <c r="D141" s="17">
        <f>C141+(C141*0.03)</f>
        <v>15021.756344165882</v>
      </c>
      <c r="E141" s="17">
        <f>C141/3250</f>
        <v>4.4874552185708385</v>
      </c>
      <c r="F141" s="28">
        <f>(D141-C141)/E141</f>
        <v>97.5</v>
      </c>
      <c r="G141" s="18"/>
      <c r="H141" s="18"/>
      <c r="I141" s="19">
        <f>E141*50/C141</f>
        <v>1.5384615384615385E-2</v>
      </c>
      <c r="J141" s="85"/>
    </row>
    <row r="142" spans="1:11" ht="13" thickBot="1">
      <c r="A142" s="105"/>
      <c r="B142" s="81">
        <f>B141+7</f>
        <v>43891</v>
      </c>
      <c r="C142" s="20">
        <f>D141+G141-H141</f>
        <v>15021.756344165882</v>
      </c>
      <c r="D142" s="17">
        <f>C142+(C142*0.03)</f>
        <v>15472.409034490858</v>
      </c>
      <c r="E142" s="17">
        <f>C142/3250</f>
        <v>4.622078875127964</v>
      </c>
      <c r="F142" s="28">
        <f>(D142-C142)/E142</f>
        <v>97.499999999999886</v>
      </c>
      <c r="G142" s="80"/>
      <c r="H142" s="80"/>
      <c r="I142" s="19">
        <f>E142*50/C142</f>
        <v>1.5384615384615385E-2</v>
      </c>
      <c r="J142" s="85"/>
    </row>
    <row r="143" spans="1:11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6"/>
    </row>
    <row r="144" spans="1:11">
      <c r="A144" s="103">
        <v>29</v>
      </c>
      <c r="B144" s="81">
        <f>B142+7</f>
        <v>43898</v>
      </c>
      <c r="C144" s="20">
        <f>D142+G142-H142</f>
        <v>15472.409034490858</v>
      </c>
      <c r="D144" s="17">
        <f>C144+(C144*0.03)</f>
        <v>15936.581305525584</v>
      </c>
      <c r="E144" s="17">
        <f>C144/3250</f>
        <v>4.7607412413818029</v>
      </c>
      <c r="F144" s="28">
        <f>(D144-C144)/E144</f>
        <v>97.5</v>
      </c>
      <c r="G144" s="18"/>
      <c r="H144" s="18"/>
      <c r="I144" s="19">
        <f>E144*50/C144</f>
        <v>1.5384615384615387E-2</v>
      </c>
      <c r="J144" s="85"/>
    </row>
    <row r="145" spans="1:11">
      <c r="A145" s="104"/>
      <c r="B145" s="81">
        <f>B144+7</f>
        <v>43905</v>
      </c>
      <c r="C145" s="20">
        <f>D144+G144-H144</f>
        <v>15936.581305525584</v>
      </c>
      <c r="D145" s="17">
        <f>C145+(C145*0.03)</f>
        <v>16414.678744691351</v>
      </c>
      <c r="E145" s="17">
        <f>C145/3250</f>
        <v>4.9035634786232567</v>
      </c>
      <c r="F145" s="28">
        <f>(D145-C145)/E145</f>
        <v>97.499999999999972</v>
      </c>
      <c r="G145" s="18"/>
      <c r="H145" s="18"/>
      <c r="I145" s="19">
        <f>E145*50/C145</f>
        <v>1.5384615384615385E-2</v>
      </c>
      <c r="J145" s="85"/>
    </row>
    <row r="146" spans="1:11">
      <c r="A146" s="104"/>
      <c r="B146" s="81">
        <f>B145+7</f>
        <v>43912</v>
      </c>
      <c r="C146" s="20">
        <f>D145+G145-H145</f>
        <v>16414.678744691351</v>
      </c>
      <c r="D146" s="17">
        <f>C146+(C146*0.03)</f>
        <v>16907.119107032093</v>
      </c>
      <c r="E146" s="17">
        <f>C146/3250</f>
        <v>5.0506703829819539</v>
      </c>
      <c r="F146" s="28">
        <f>(D146-C146)/E146</f>
        <v>97.500000000000213</v>
      </c>
      <c r="G146" s="18"/>
      <c r="H146" s="18"/>
      <c r="I146" s="19">
        <f>E146*50/C146</f>
        <v>1.5384615384615384E-2</v>
      </c>
      <c r="J146" s="85"/>
    </row>
    <row r="147" spans="1:11" ht="13" thickBot="1">
      <c r="A147" s="105"/>
      <c r="B147" s="81">
        <f>B146+7</f>
        <v>43919</v>
      </c>
      <c r="C147" s="20">
        <f>D146+G146-H146</f>
        <v>16907.119107032093</v>
      </c>
      <c r="D147" s="17">
        <f>C147+(C147*0.03)</f>
        <v>17414.332680243057</v>
      </c>
      <c r="E147" s="17">
        <f>C147/3250</f>
        <v>5.202190494471413</v>
      </c>
      <c r="F147" s="28">
        <f>(D147-C147)/E147</f>
        <v>97.500000000000171</v>
      </c>
      <c r="G147" s="80"/>
      <c r="H147" s="80"/>
      <c r="I147" s="19">
        <f>E147*50/C147</f>
        <v>1.5384615384615384E-2</v>
      </c>
      <c r="J147" s="85"/>
    </row>
    <row r="148" spans="1:11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6"/>
    </row>
    <row r="149" spans="1:11">
      <c r="A149" s="103">
        <v>30</v>
      </c>
      <c r="B149" s="81">
        <f>B147+7</f>
        <v>43926</v>
      </c>
      <c r="C149" s="20">
        <f>D147+G147-H147</f>
        <v>17414.332680243057</v>
      </c>
      <c r="D149" s="17">
        <f>C149+(C149*0.03)</f>
        <v>17936.762660650347</v>
      </c>
      <c r="E149" s="17">
        <f>C149/3250</f>
        <v>5.3582562093055559</v>
      </c>
      <c r="F149" s="28">
        <f>(D149-C149)/E149</f>
        <v>97.499999999999815</v>
      </c>
      <c r="G149" s="18"/>
      <c r="H149" s="18"/>
      <c r="I149" s="19">
        <f>E149*50/C149</f>
        <v>1.5384615384615385E-2</v>
      </c>
      <c r="J149" s="85"/>
    </row>
    <row r="150" spans="1:11">
      <c r="A150" s="104"/>
      <c r="B150" s="81">
        <f>B149+7</f>
        <v>43933</v>
      </c>
      <c r="C150" s="20">
        <f>D149+G149-H149</f>
        <v>17936.762660650347</v>
      </c>
      <c r="D150" s="17">
        <f>C150+(C150*0.03)</f>
        <v>18474.865540469858</v>
      </c>
      <c r="E150" s="17">
        <f>C150/3250</f>
        <v>5.5190038955847225</v>
      </c>
      <c r="F150" s="28">
        <f>(D150-C150)/E150</f>
        <v>97.500000000000128</v>
      </c>
      <c r="G150" s="18"/>
      <c r="H150" s="18"/>
      <c r="I150" s="19">
        <f>E150*50/C150</f>
        <v>1.5384615384615385E-2</v>
      </c>
      <c r="J150" s="85"/>
    </row>
    <row r="151" spans="1:11">
      <c r="A151" s="104"/>
      <c r="B151" s="81">
        <f>B150+7</f>
        <v>43940</v>
      </c>
      <c r="C151" s="20">
        <f>D150+G150-H150</f>
        <v>18474.865540469858</v>
      </c>
      <c r="D151" s="17">
        <f>C151+(C151*0.03)</f>
        <v>19029.111506683956</v>
      </c>
      <c r="E151" s="17">
        <f>C151/3250</f>
        <v>5.6845740124522637</v>
      </c>
      <c r="F151" s="28">
        <f>(D151-C151)/E151</f>
        <v>97.50000000000027</v>
      </c>
      <c r="G151" s="18"/>
      <c r="H151" s="18"/>
      <c r="I151" s="19">
        <f>E151*50/C151</f>
        <v>1.5384615384615384E-2</v>
      </c>
      <c r="J151" s="85"/>
    </row>
    <row r="152" spans="1:11" ht="13.5" thickBot="1">
      <c r="A152" s="105"/>
      <c r="B152" s="81">
        <f>B151+7</f>
        <v>43947</v>
      </c>
      <c r="C152" s="20">
        <f>D151+G151-H151</f>
        <v>19029.111506683956</v>
      </c>
      <c r="D152" s="17">
        <f>C152+(C152*0.03)</f>
        <v>19599.984851884474</v>
      </c>
      <c r="E152" s="17">
        <f>C152/3250</f>
        <v>5.8551112328258323</v>
      </c>
      <c r="F152" s="28">
        <f>(D152-C152)/E152</f>
        <v>97.499999999999901</v>
      </c>
      <c r="G152" s="80"/>
      <c r="H152" s="80">
        <f>(D152-C139)*0.35</f>
        <v>2048.5324386399798</v>
      </c>
      <c r="I152" s="19">
        <f>E152*50/C152</f>
        <v>1.5384615384615384E-2</v>
      </c>
      <c r="J152" s="85"/>
      <c r="K152" s="102" t="s">
        <v>49</v>
      </c>
    </row>
    <row r="153" spans="1:11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6"/>
    </row>
    <row r="154" spans="1:11">
      <c r="A154" s="103">
        <v>31</v>
      </c>
      <c r="B154" s="81">
        <f>B152+7</f>
        <v>43954</v>
      </c>
      <c r="C154" s="20">
        <f>D152+G152-H152</f>
        <v>17551.452413244493</v>
      </c>
      <c r="D154" s="17">
        <f>C154+(C154*0.03)</f>
        <v>18077.995985641828</v>
      </c>
      <c r="E154" s="17">
        <f>C154/3250</f>
        <v>5.4004468963829213</v>
      </c>
      <c r="F154" s="28">
        <f>(D154-C154)/E154</f>
        <v>97.500000000000043</v>
      </c>
      <c r="G154" s="17"/>
      <c r="H154" s="79"/>
      <c r="I154" s="19">
        <f>E154*50/C154</f>
        <v>1.5384615384615384E-2</v>
      </c>
      <c r="J154" s="85"/>
    </row>
    <row r="155" spans="1:11">
      <c r="A155" s="104"/>
      <c r="B155" s="81">
        <f>B154+7</f>
        <v>43961</v>
      </c>
      <c r="C155" s="20">
        <f>D154+G154-H154</f>
        <v>18077.995985641828</v>
      </c>
      <c r="D155" s="17">
        <f>C155+(C155*0.03)</f>
        <v>18620.335865211084</v>
      </c>
      <c r="E155" s="17">
        <f>C155/3250</f>
        <v>5.5624603032744089</v>
      </c>
      <c r="F155" s="28">
        <f>(D155-C155)/E155</f>
        <v>97.500000000000128</v>
      </c>
      <c r="G155" s="17"/>
      <c r="H155" s="79"/>
      <c r="I155" s="19">
        <f>E155*50/C155</f>
        <v>1.5384615384615384E-2</v>
      </c>
      <c r="J155" s="85"/>
    </row>
    <row r="156" spans="1:11">
      <c r="A156" s="104"/>
      <c r="B156" s="81">
        <f>B155+7</f>
        <v>43968</v>
      </c>
      <c r="C156" s="20">
        <f>D155+G155-H155</f>
        <v>18620.335865211084</v>
      </c>
      <c r="D156" s="17">
        <f>C156+(C156*0.03)</f>
        <v>19178.945941167418</v>
      </c>
      <c r="E156" s="17">
        <f>C156/3250</f>
        <v>5.7293341123726416</v>
      </c>
      <c r="F156" s="28">
        <f>(D156-C156)/E156</f>
        <v>97.500000000000284</v>
      </c>
      <c r="G156" s="17"/>
      <c r="H156" s="79"/>
      <c r="I156" s="19">
        <f>E156*50/C156</f>
        <v>1.5384615384615387E-2</v>
      </c>
      <c r="J156" s="85"/>
    </row>
    <row r="157" spans="1:11" ht="13" thickBot="1">
      <c r="A157" s="105"/>
      <c r="B157" s="81">
        <f>B156+7</f>
        <v>43975</v>
      </c>
      <c r="C157" s="20">
        <f>D156+G156-H156</f>
        <v>19178.945941167418</v>
      </c>
      <c r="D157" s="17">
        <f>C157+(C157*0.03)</f>
        <v>19754.314319402441</v>
      </c>
      <c r="E157" s="17">
        <f>C157/3250</f>
        <v>5.901214135743821</v>
      </c>
      <c r="F157" s="28">
        <f>(D157-C157)/E157</f>
        <v>97.500000000000171</v>
      </c>
      <c r="G157" s="80"/>
      <c r="H157" s="80"/>
      <c r="I157" s="19">
        <f>E157*50/C157</f>
        <v>1.5384615384615385E-2</v>
      </c>
      <c r="J157" s="85"/>
    </row>
    <row r="158" spans="1:11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6"/>
    </row>
    <row r="159" spans="1:11">
      <c r="A159" s="103">
        <v>32</v>
      </c>
      <c r="B159" s="81">
        <f>B157+7</f>
        <v>43982</v>
      </c>
      <c r="C159" s="20">
        <f>D157+G157-H157</f>
        <v>19754.314319402441</v>
      </c>
      <c r="D159" s="17">
        <f>C159+(C159*0.03)</f>
        <v>20346.943748984515</v>
      </c>
      <c r="E159" s="17">
        <f>C159/3250</f>
        <v>6.0782505598161363</v>
      </c>
      <c r="F159" s="28">
        <f>(D159-C159)/E159</f>
        <v>97.500000000000028</v>
      </c>
      <c r="G159" s="18"/>
      <c r="H159" s="18"/>
      <c r="I159" s="19">
        <f>E159*50/C159</f>
        <v>1.5384615384615387E-2</v>
      </c>
      <c r="J159" s="85"/>
    </row>
    <row r="160" spans="1:11">
      <c r="A160" s="104"/>
      <c r="B160" s="81">
        <f>B159+7</f>
        <v>43989</v>
      </c>
      <c r="C160" s="20">
        <f>D159+G159-H159</f>
        <v>20346.943748984515</v>
      </c>
      <c r="D160" s="17">
        <f>C160+(C160*0.03)</f>
        <v>20957.35206145405</v>
      </c>
      <c r="E160" s="17">
        <f>C160/3250</f>
        <v>6.26059807661062</v>
      </c>
      <c r="F160" s="28">
        <f>(D160-C160)/E160</f>
        <v>97.499999999999972</v>
      </c>
      <c r="G160" s="18"/>
      <c r="H160" s="18"/>
      <c r="I160" s="19">
        <f>E160*50/C160</f>
        <v>1.5384615384615384E-2</v>
      </c>
      <c r="J160" s="85"/>
    </row>
    <row r="161" spans="1:11">
      <c r="A161" s="104"/>
      <c r="B161" s="81">
        <f>B160+7</f>
        <v>43996</v>
      </c>
      <c r="C161" s="20">
        <f>D160+G160-H160</f>
        <v>20957.35206145405</v>
      </c>
      <c r="D161" s="17">
        <f>C161+(C161*0.03)</f>
        <v>21586.07262329767</v>
      </c>
      <c r="E161" s="17">
        <f>C161/3250</f>
        <v>6.4484160189089383</v>
      </c>
      <c r="F161" s="28">
        <f>(D161-C161)/E161</f>
        <v>97.499999999999787</v>
      </c>
      <c r="G161" s="18"/>
      <c r="H161" s="18"/>
      <c r="I161" s="19">
        <f>E161*50/C161</f>
        <v>1.5384615384615384E-2</v>
      </c>
      <c r="J161" s="85"/>
    </row>
    <row r="162" spans="1:11" ht="13" thickBot="1">
      <c r="A162" s="105"/>
      <c r="B162" s="81">
        <f>B161+7</f>
        <v>44003</v>
      </c>
      <c r="C162" s="20">
        <f>D161+G161-H161</f>
        <v>21586.07262329767</v>
      </c>
      <c r="D162" s="17">
        <f>C162+(C162*0.03)</f>
        <v>22233.654801996599</v>
      </c>
      <c r="E162" s="17">
        <f>C162/3250</f>
        <v>6.6418684994762058</v>
      </c>
      <c r="F162" s="28">
        <f>(D162-C162)/E162</f>
        <v>97.499999999999844</v>
      </c>
      <c r="G162" s="80"/>
      <c r="H162" s="80"/>
      <c r="I162" s="19">
        <f>E162*50/C162</f>
        <v>1.5384615384615382E-2</v>
      </c>
      <c r="J162" s="85"/>
    </row>
    <row r="163" spans="1:11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6"/>
    </row>
    <row r="164" spans="1:11">
      <c r="A164" s="103">
        <v>33</v>
      </c>
      <c r="B164" s="81">
        <f>B162+7</f>
        <v>44010</v>
      </c>
      <c r="C164" s="20">
        <f>D162+G162-H162</f>
        <v>22233.654801996599</v>
      </c>
      <c r="D164" s="17">
        <f>C164+(C164*0.03)</f>
        <v>22900.664446056497</v>
      </c>
      <c r="E164" s="17">
        <f>C164/3250</f>
        <v>6.8411245544604924</v>
      </c>
      <c r="F164" s="28">
        <f>(D164-C164)/E164</f>
        <v>97.499999999999886</v>
      </c>
      <c r="G164" s="18"/>
      <c r="H164" s="18"/>
      <c r="I164" s="19">
        <f>E164*50/C164</f>
        <v>1.5384615384615385E-2</v>
      </c>
      <c r="J164" s="85"/>
    </row>
    <row r="165" spans="1:11">
      <c r="A165" s="104"/>
      <c r="B165" s="81">
        <f>B164+7</f>
        <v>44017</v>
      </c>
      <c r="C165" s="20">
        <f>D164+G164-H164</f>
        <v>22900.664446056497</v>
      </c>
      <c r="D165" s="17">
        <f>C165+(C165*0.03)</f>
        <v>23587.684379438193</v>
      </c>
      <c r="E165" s="17">
        <f>C165/3250</f>
        <v>7.0463582910943066</v>
      </c>
      <c r="F165" s="28">
        <f>(D165-C165)/E165</f>
        <v>97.500000000000199</v>
      </c>
      <c r="G165" s="18"/>
      <c r="H165" s="18"/>
      <c r="I165" s="19">
        <f>E165*50/C165</f>
        <v>1.5384615384615385E-2</v>
      </c>
      <c r="J165" s="85"/>
    </row>
    <row r="166" spans="1:11">
      <c r="A166" s="104"/>
      <c r="B166" s="81">
        <f>B165+7</f>
        <v>44024</v>
      </c>
      <c r="C166" s="20">
        <f>D165+G165-H165</f>
        <v>23587.684379438193</v>
      </c>
      <c r="D166" s="17">
        <f>C166+(C166*0.03)</f>
        <v>24295.31491082134</v>
      </c>
      <c r="E166" s="17">
        <f>C166/3250</f>
        <v>7.2577490398271367</v>
      </c>
      <c r="F166" s="28">
        <f>(D166-C166)/E166</f>
        <v>97.500000000000185</v>
      </c>
      <c r="G166" s="18"/>
      <c r="H166" s="18"/>
      <c r="I166" s="19">
        <f>E166*50/C166</f>
        <v>1.5384615384615385E-2</v>
      </c>
      <c r="J166" s="85"/>
    </row>
    <row r="167" spans="1:11" ht="13.5" thickBot="1">
      <c r="A167" s="105"/>
      <c r="B167" s="81">
        <f>B166+7</f>
        <v>44031</v>
      </c>
      <c r="C167" s="20">
        <f>D166+G166-H166</f>
        <v>24295.31491082134</v>
      </c>
      <c r="D167" s="17">
        <f>C167+(C167*0.03)</f>
        <v>25024.174358145981</v>
      </c>
      <c r="E167" s="17">
        <f>C167/3250</f>
        <v>7.4754815110219512</v>
      </c>
      <c r="F167" s="28">
        <f>(D167-C167)/E167</f>
        <v>97.500000000000128</v>
      </c>
      <c r="G167" s="80"/>
      <c r="H167" s="80">
        <f>(D167-C154)*0.35</f>
        <v>2615.4526807155207</v>
      </c>
      <c r="I167" s="19">
        <f>E167*50/C167</f>
        <v>1.5384615384615385E-2</v>
      </c>
      <c r="J167" s="85"/>
      <c r="K167" s="102" t="s">
        <v>49</v>
      </c>
    </row>
    <row r="168" spans="1:11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6"/>
    </row>
    <row r="169" spans="1:11">
      <c r="A169" s="103">
        <v>34</v>
      </c>
      <c r="B169" s="81">
        <f>B167+7</f>
        <v>44038</v>
      </c>
      <c r="C169" s="20">
        <f>D167+G167-H167</f>
        <v>22408.721677430462</v>
      </c>
      <c r="D169" s="17">
        <f>C169+(C169*0.03)</f>
        <v>23080.983327753376</v>
      </c>
      <c r="E169" s="17">
        <f>C169/3250</f>
        <v>6.8949912853632194</v>
      </c>
      <c r="F169" s="28">
        <f>(D169-C169)/E169</f>
        <v>97.500000000000114</v>
      </c>
      <c r="G169" s="18"/>
      <c r="H169" s="18"/>
      <c r="I169" s="19">
        <f>E169*50/C169</f>
        <v>1.5384615384615385E-2</v>
      </c>
      <c r="J169" s="85"/>
    </row>
    <row r="170" spans="1:11">
      <c r="A170" s="104"/>
      <c r="B170" s="81">
        <f>B169+7</f>
        <v>44045</v>
      </c>
      <c r="C170" s="20">
        <f>D169+G169-H169</f>
        <v>23080.983327753376</v>
      </c>
      <c r="D170" s="17">
        <f>C170+(C170*0.03)</f>
        <v>23773.412827585977</v>
      </c>
      <c r="E170" s="17">
        <f>C170/3250</f>
        <v>7.1018410239241154</v>
      </c>
      <c r="F170" s="28">
        <f>(D170-C170)/E170</f>
        <v>97.499999999999886</v>
      </c>
      <c r="G170" s="18"/>
      <c r="H170" s="18"/>
      <c r="I170" s="19">
        <f>E170*50/C170</f>
        <v>1.5384615384615384E-2</v>
      </c>
      <c r="J170" s="85"/>
    </row>
    <row r="171" spans="1:11">
      <c r="A171" s="104"/>
      <c r="B171" s="81">
        <f>B170+7</f>
        <v>44052</v>
      </c>
      <c r="C171" s="20">
        <f>D170+G170-H170</f>
        <v>23773.412827585977</v>
      </c>
      <c r="D171" s="17">
        <f>C171+(C171*0.03)</f>
        <v>24486.615212413555</v>
      </c>
      <c r="E171" s="17">
        <f>C171/3250</f>
        <v>7.3148962546418392</v>
      </c>
      <c r="F171" s="28">
        <f>(D171-C171)/E171</f>
        <v>97.499999999999886</v>
      </c>
      <c r="G171" s="18"/>
      <c r="H171" s="18"/>
      <c r="I171" s="19">
        <f>E171*50/C171</f>
        <v>1.5384615384615385E-2</v>
      </c>
      <c r="J171" s="85"/>
    </row>
    <row r="172" spans="1:11" ht="13" thickBot="1">
      <c r="A172" s="105"/>
      <c r="B172" s="81">
        <f>B171+7</f>
        <v>44059</v>
      </c>
      <c r="C172" s="20">
        <f>D171+G171-H171</f>
        <v>24486.615212413555</v>
      </c>
      <c r="D172" s="17">
        <f>C172+(C172*0.03)</f>
        <v>25221.21366878596</v>
      </c>
      <c r="E172" s="17">
        <f>C172/3250</f>
        <v>7.5343431422810943</v>
      </c>
      <c r="F172" s="28">
        <f>(D172-C172)/E172</f>
        <v>97.499999999999787</v>
      </c>
      <c r="G172" s="80"/>
      <c r="H172" s="80"/>
      <c r="I172" s="19">
        <f>E172*50/C172</f>
        <v>1.5384615384615385E-2</v>
      </c>
      <c r="J172" s="85"/>
    </row>
    <row r="173" spans="1:11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6"/>
    </row>
    <row r="174" spans="1:11">
      <c r="A174" s="103">
        <v>35</v>
      </c>
      <c r="B174" s="81">
        <f>B172+7</f>
        <v>44066</v>
      </c>
      <c r="C174" s="20">
        <f>D172+G172-H172</f>
        <v>25221.21366878596</v>
      </c>
      <c r="D174" s="17">
        <f>C174+(C174*0.03)</f>
        <v>25977.85007884954</v>
      </c>
      <c r="E174" s="17">
        <f>C174/3250</f>
        <v>7.7603734365495258</v>
      </c>
      <c r="F174" s="28">
        <f>(D174-C174)/E174</f>
        <v>97.500000000000171</v>
      </c>
      <c r="G174" s="18"/>
      <c r="H174" s="18"/>
      <c r="I174" s="19">
        <f>E174*50/C174</f>
        <v>1.5384615384615384E-2</v>
      </c>
      <c r="J174" s="85"/>
    </row>
    <row r="175" spans="1:11">
      <c r="A175" s="104"/>
      <c r="B175" s="81">
        <f>B174+7</f>
        <v>44073</v>
      </c>
      <c r="C175" s="20">
        <f>D174+G174-H174</f>
        <v>25977.85007884954</v>
      </c>
      <c r="D175" s="17">
        <f>C175+(C175*0.03)</f>
        <v>26757.185581215028</v>
      </c>
      <c r="E175" s="17">
        <f>C175/3250</f>
        <v>7.993184639646012</v>
      </c>
      <c r="F175" s="28">
        <f>(D175-C175)/E175</f>
        <v>97.500000000000185</v>
      </c>
      <c r="G175" s="18"/>
      <c r="H175" s="18"/>
      <c r="I175" s="19">
        <f>E175*50/C175</f>
        <v>1.5384615384615384E-2</v>
      </c>
      <c r="J175" s="85"/>
    </row>
    <row r="176" spans="1:11">
      <c r="A176" s="104"/>
      <c r="B176" s="81">
        <f>B175+7</f>
        <v>44080</v>
      </c>
      <c r="C176" s="20">
        <f>D175+G175-H175</f>
        <v>26757.185581215028</v>
      </c>
      <c r="D176" s="17">
        <f>C176+(C176*0.03)</f>
        <v>27559.901148651479</v>
      </c>
      <c r="E176" s="17">
        <f>C176/3250</f>
        <v>8.232980178835394</v>
      </c>
      <c r="F176" s="28">
        <f>(D176-C176)/E176</f>
        <v>97.500000000000043</v>
      </c>
      <c r="G176" s="18"/>
      <c r="H176" s="18"/>
      <c r="I176" s="19">
        <f>E176*50/C176</f>
        <v>1.5384615384615385E-2</v>
      </c>
      <c r="J176" s="85"/>
    </row>
    <row r="177" spans="1:11" ht="13.5" thickBot="1">
      <c r="A177" s="105"/>
      <c r="B177" s="81">
        <f>B176+7</f>
        <v>44087</v>
      </c>
      <c r="C177" s="20">
        <f>D176+G176-H176</f>
        <v>27559.901148651479</v>
      </c>
      <c r="D177" s="17">
        <f>C177+(C177*0.03)</f>
        <v>28386.698183111024</v>
      </c>
      <c r="E177" s="17">
        <f>C177/3250</f>
        <v>8.4799695842004557</v>
      </c>
      <c r="F177" s="28">
        <f>(D177-C177)/E177</f>
        <v>97.500000000000085</v>
      </c>
      <c r="G177" s="80"/>
      <c r="H177" s="80">
        <f>(D177-C169)*0.35</f>
        <v>2092.2917769881969</v>
      </c>
      <c r="I177" s="19">
        <f>E177*50/C177</f>
        <v>1.5384615384615385E-2</v>
      </c>
      <c r="J177" s="85"/>
      <c r="K177" s="102" t="s">
        <v>49</v>
      </c>
    </row>
    <row r="178" spans="1:11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6"/>
    </row>
  </sheetData>
  <mergeCells count="36">
    <mergeCell ref="A54:A57"/>
    <mergeCell ref="B1:I1"/>
    <mergeCell ref="A4:A7"/>
    <mergeCell ref="A9:A12"/>
    <mergeCell ref="A14:A17"/>
    <mergeCell ref="A19:A22"/>
    <mergeCell ref="A24:A27"/>
    <mergeCell ref="A29:A32"/>
    <mergeCell ref="A34:A37"/>
    <mergeCell ref="A39:A42"/>
    <mergeCell ref="A44:A47"/>
    <mergeCell ref="A49:A52"/>
    <mergeCell ref="A114:A117"/>
    <mergeCell ref="A59:A62"/>
    <mergeCell ref="A64:A67"/>
    <mergeCell ref="A69:A72"/>
    <mergeCell ref="A74:A77"/>
    <mergeCell ref="A79:A82"/>
    <mergeCell ref="A84:A87"/>
    <mergeCell ref="A89:A92"/>
    <mergeCell ref="A94:A97"/>
    <mergeCell ref="A99:A102"/>
    <mergeCell ref="A104:A107"/>
    <mergeCell ref="A109:A112"/>
    <mergeCell ref="A174:A177"/>
    <mergeCell ref="A119:A122"/>
    <mergeCell ref="A124:A127"/>
    <mergeCell ref="A129:A132"/>
    <mergeCell ref="A134:A137"/>
    <mergeCell ref="A139:A142"/>
    <mergeCell ref="A144:A147"/>
    <mergeCell ref="A149:A152"/>
    <mergeCell ref="A154:A157"/>
    <mergeCell ref="A159:A162"/>
    <mergeCell ref="A164:A167"/>
    <mergeCell ref="A169:A172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J139"/>
  <sheetViews>
    <sheetView workbookViewId="0">
      <selection sqref="A1:J1"/>
    </sheetView>
  </sheetViews>
  <sheetFormatPr defaultColWidth="9.1796875" defaultRowHeight="12.5"/>
  <cols>
    <col min="1" max="1" width="9.54296875" style="74" bestFit="1" customWidth="1"/>
    <col min="2" max="3" width="9.54296875" customWidth="1"/>
    <col min="4" max="4" width="10.54296875" bestFit="1" customWidth="1"/>
    <col min="5" max="5" width="6.54296875" bestFit="1" customWidth="1"/>
    <col min="6" max="6" width="6" bestFit="1" customWidth="1"/>
    <col min="7" max="7" width="7.81640625" bestFit="1" customWidth="1"/>
    <col min="8" max="8" width="12" bestFit="1" customWidth="1"/>
    <col min="9" max="10" width="9" bestFit="1" customWidth="1"/>
    <col min="11" max="12" width="3.54296875" customWidth="1"/>
  </cols>
  <sheetData>
    <row r="1" spans="1:10" ht="16" thickBot="1">
      <c r="A1" s="116" t="s">
        <v>46</v>
      </c>
      <c r="B1" s="117"/>
      <c r="C1" s="117"/>
      <c r="D1" s="117"/>
      <c r="E1" s="117"/>
      <c r="F1" s="117"/>
      <c r="G1" s="117"/>
      <c r="H1" s="117"/>
      <c r="I1" s="117"/>
      <c r="J1" s="117"/>
    </row>
    <row r="2" spans="1:10" ht="18.75" customHeight="1" thickBot="1">
      <c r="A2" s="76" t="s">
        <v>35</v>
      </c>
      <c r="B2" s="3" t="s">
        <v>3</v>
      </c>
      <c r="C2" s="4" t="s">
        <v>4</v>
      </c>
      <c r="D2" s="5" t="s">
        <v>5</v>
      </c>
      <c r="E2" s="5" t="s">
        <v>12</v>
      </c>
      <c r="F2" s="5" t="s">
        <v>13</v>
      </c>
      <c r="G2" s="5" t="s">
        <v>6</v>
      </c>
      <c r="H2" s="5" t="s">
        <v>6</v>
      </c>
      <c r="I2" s="14" t="s">
        <v>14</v>
      </c>
      <c r="J2" s="14" t="s">
        <v>41</v>
      </c>
    </row>
    <row r="3" spans="1:10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0">
      <c r="A4" s="103">
        <v>1</v>
      </c>
      <c r="B4" s="15">
        <v>42883</v>
      </c>
      <c r="C4" s="20">
        <v>1000</v>
      </c>
      <c r="D4" s="17">
        <f>C4+(C4*0.03)</f>
        <v>1030</v>
      </c>
      <c r="E4" s="17">
        <f>C4/3250</f>
        <v>0.30769230769230771</v>
      </c>
      <c r="F4" s="83">
        <f>(D4-C4)/E4</f>
        <v>97.5</v>
      </c>
      <c r="G4" s="26"/>
      <c r="H4" s="18"/>
      <c r="I4" s="19">
        <f>E4*50/C4</f>
        <v>1.5384615384615385E-2</v>
      </c>
      <c r="J4" s="85">
        <f>(D4-C4)/C4</f>
        <v>0.03</v>
      </c>
    </row>
    <row r="5" spans="1:10">
      <c r="A5" s="104"/>
      <c r="B5" s="15">
        <f>B4+7</f>
        <v>42890</v>
      </c>
      <c r="C5" s="20">
        <f>D4+G4-H4</f>
        <v>1030</v>
      </c>
      <c r="D5" s="17">
        <f>C5+(C5*0.03)</f>
        <v>1060.9000000000001</v>
      </c>
      <c r="E5" s="17">
        <f>C5/3250</f>
        <v>0.31692307692307692</v>
      </c>
      <c r="F5" s="83">
        <f>(D5-C5)/E5</f>
        <v>97.500000000000284</v>
      </c>
      <c r="G5" s="18"/>
      <c r="H5" s="18"/>
      <c r="I5" s="19">
        <f>E5*50/C5</f>
        <v>1.5384615384615385E-2</v>
      </c>
      <c r="J5" s="85">
        <f>(D5-$C4)/$C4</f>
        <v>6.0900000000000093E-2</v>
      </c>
    </row>
    <row r="6" spans="1:10">
      <c r="A6" s="104"/>
      <c r="B6" s="15">
        <f>B5+7</f>
        <v>42897</v>
      </c>
      <c r="C6" s="20">
        <f>D5+G5-H5</f>
        <v>1060.9000000000001</v>
      </c>
      <c r="D6" s="17">
        <f>C6+(C6*0.03)</f>
        <v>1092.7270000000001</v>
      </c>
      <c r="E6" s="17">
        <f>C6/3250</f>
        <v>0.32643076923076925</v>
      </c>
      <c r="F6" s="83">
        <f>(D6-C6)/E6</f>
        <v>97.499999999999986</v>
      </c>
      <c r="G6" s="18"/>
      <c r="H6" s="18"/>
      <c r="I6" s="19">
        <f>E6*50/C6</f>
        <v>1.5384615384615384E-2</v>
      </c>
      <c r="J6" s="85">
        <f>(D6-$C4)/$C4</f>
        <v>9.2727000000000087E-2</v>
      </c>
    </row>
    <row r="7" spans="1:10" ht="13" thickBot="1">
      <c r="A7" s="105"/>
      <c r="B7" s="15">
        <f>B6+7</f>
        <v>42904</v>
      </c>
      <c r="C7" s="20">
        <f>D6+G6-H6</f>
        <v>1092.7270000000001</v>
      </c>
      <c r="D7" s="17">
        <f>C7+(C7*0.03)</f>
        <v>1125.50881</v>
      </c>
      <c r="E7" s="17">
        <f>C7/3250</f>
        <v>0.33622369230769233</v>
      </c>
      <c r="F7" s="83">
        <f>(D7-C7)/E7</f>
        <v>97.499999999999844</v>
      </c>
      <c r="G7" s="26"/>
      <c r="H7" s="18"/>
      <c r="I7" s="19">
        <f>E7*50/C7</f>
        <v>1.5384615384615384E-2</v>
      </c>
      <c r="J7" s="85">
        <f>(D7-$C4)/$C4</f>
        <v>0.12550881000000003</v>
      </c>
    </row>
    <row r="8" spans="1:10" ht="13" thickBot="1">
      <c r="A8" s="78"/>
      <c r="B8" s="13"/>
      <c r="C8" s="22"/>
      <c r="D8" s="23"/>
      <c r="E8" s="23"/>
      <c r="F8" s="27"/>
      <c r="G8" s="30"/>
      <c r="H8" s="10"/>
      <c r="I8" s="24"/>
      <c r="J8" s="86"/>
    </row>
    <row r="9" spans="1:10">
      <c r="A9" s="103">
        <v>2</v>
      </c>
      <c r="B9" s="15">
        <f>B7+7</f>
        <v>42911</v>
      </c>
      <c r="C9" s="20">
        <f>D7+G7-H7</f>
        <v>1125.50881</v>
      </c>
      <c r="D9" s="17">
        <f>C9+(C9*0.03)</f>
        <v>1159.2740742999999</v>
      </c>
      <c r="E9" s="17">
        <f>C9/3250</f>
        <v>0.34631040307692307</v>
      </c>
      <c r="F9" s="28">
        <f>(D9-C9)/E9</f>
        <v>97.499999999999716</v>
      </c>
      <c r="G9" s="26"/>
      <c r="H9" s="18"/>
      <c r="I9" s="19">
        <f>E9*50/C9</f>
        <v>1.5384615384615385E-2</v>
      </c>
      <c r="J9" s="85">
        <f>(D9-$C4)/$C4</f>
        <v>0.15927407429999993</v>
      </c>
    </row>
    <row r="10" spans="1:10" s="1" customFormat="1">
      <c r="A10" s="104"/>
      <c r="B10" s="15">
        <f>B9+7</f>
        <v>42918</v>
      </c>
      <c r="C10" s="20">
        <f>D9+G9-H9</f>
        <v>1159.2740742999999</v>
      </c>
      <c r="D10" s="17">
        <f>C10+(C10*0.03)</f>
        <v>1194.0522965289999</v>
      </c>
      <c r="E10" s="17">
        <f>C10/3250</f>
        <v>0.35669971516923077</v>
      </c>
      <c r="F10" s="28">
        <f>(D10-C10)/E10</f>
        <v>97.499999999999986</v>
      </c>
      <c r="G10" s="18"/>
      <c r="H10" s="18"/>
      <c r="I10" s="19">
        <f>E10*50/C10</f>
        <v>1.5384615384615385E-2</v>
      </c>
      <c r="J10" s="85">
        <f>(D10-$C4)/$C4</f>
        <v>0.19405229652899994</v>
      </c>
    </row>
    <row r="11" spans="1:10" s="1" customFormat="1">
      <c r="A11" s="104"/>
      <c r="B11" s="15">
        <f>B10+7</f>
        <v>42925</v>
      </c>
      <c r="C11" s="20">
        <f>D10+G10-H10</f>
        <v>1194.0522965289999</v>
      </c>
      <c r="D11" s="17">
        <f>C11+(C11*0.03)</f>
        <v>1229.87386542487</v>
      </c>
      <c r="E11" s="17">
        <f>C11/3250</f>
        <v>0.36740070662430768</v>
      </c>
      <c r="F11" s="28">
        <f>(D11-C11)/E11</f>
        <v>97.500000000000242</v>
      </c>
      <c r="G11" s="18"/>
      <c r="H11" s="18"/>
      <c r="I11" s="19">
        <f>E11*50/C11</f>
        <v>1.5384615384615385E-2</v>
      </c>
      <c r="J11" s="85">
        <f>(D11-$C4)/$C4</f>
        <v>0.22987386542487001</v>
      </c>
    </row>
    <row r="12" spans="1:10" s="1" customFormat="1" ht="13" thickBot="1">
      <c r="A12" s="105"/>
      <c r="B12" s="15">
        <f>B11+7</f>
        <v>42932</v>
      </c>
      <c r="C12" s="20">
        <f>D11+G11-H11</f>
        <v>1229.87386542487</v>
      </c>
      <c r="D12" s="17">
        <f>C12+(C12*0.03)</f>
        <v>1266.7700813876161</v>
      </c>
      <c r="E12" s="17">
        <f>C12/3250</f>
        <v>0.37842272782303693</v>
      </c>
      <c r="F12" s="28">
        <f>(D12-C12)/E12</f>
        <v>97.499999999999886</v>
      </c>
      <c r="G12" s="26"/>
      <c r="H12" s="18"/>
      <c r="I12" s="19">
        <f>E12*50/C12</f>
        <v>1.5384615384615385E-2</v>
      </c>
      <c r="J12" s="85">
        <f>(D12-$C4)/$C4</f>
        <v>0.2667700813876161</v>
      </c>
    </row>
    <row r="13" spans="1:10" ht="13" thickBot="1">
      <c r="A13" s="78"/>
      <c r="B13" s="13"/>
      <c r="C13" s="22"/>
      <c r="D13" s="23"/>
      <c r="E13" s="23"/>
      <c r="F13" s="27"/>
      <c r="G13" s="30"/>
      <c r="H13" s="10"/>
      <c r="I13" s="24"/>
      <c r="J13" s="86"/>
    </row>
    <row r="14" spans="1:10" s="1" customFormat="1">
      <c r="A14" s="103">
        <v>3</v>
      </c>
      <c r="B14" s="15">
        <f>B12+7</f>
        <v>42939</v>
      </c>
      <c r="C14" s="20">
        <f>D12+G12-H12</f>
        <v>1266.7700813876161</v>
      </c>
      <c r="D14" s="17">
        <f>C14+(C14*0.03)</f>
        <v>1304.7731838292445</v>
      </c>
      <c r="E14" s="17">
        <f>C14/3250</f>
        <v>0.389775409657728</v>
      </c>
      <c r="F14" s="28">
        <f>(D14-C14)/E14</f>
        <v>97.499999999999972</v>
      </c>
      <c r="G14" s="26"/>
      <c r="H14" s="18"/>
      <c r="I14" s="19">
        <f>E14*50/C14</f>
        <v>1.5384615384615385E-2</v>
      </c>
      <c r="J14" s="85">
        <f>(D14-$C4)/$C4</f>
        <v>0.30477318382924456</v>
      </c>
    </row>
    <row r="15" spans="1:10" s="1" customFormat="1">
      <c r="A15" s="104"/>
      <c r="B15" s="15">
        <f>B14+7</f>
        <v>42946</v>
      </c>
      <c r="C15" s="20">
        <f>D14+G14-H14</f>
        <v>1304.7731838292445</v>
      </c>
      <c r="D15" s="17">
        <f>C15+(C15*0.03)</f>
        <v>1343.9163793441219</v>
      </c>
      <c r="E15" s="17">
        <f>C15/3250</f>
        <v>0.40146867194745989</v>
      </c>
      <c r="F15" s="28">
        <f>(D15-C15)/E15</f>
        <v>97.499999999999986</v>
      </c>
      <c r="G15" s="18"/>
      <c r="H15" s="18"/>
      <c r="I15" s="19">
        <f>E15*50/C15</f>
        <v>1.5384615384615385E-2</v>
      </c>
      <c r="J15" s="85">
        <f>(D15-$C4)/$C4</f>
        <v>0.34391637934412189</v>
      </c>
    </row>
    <row r="16" spans="1:10" s="1" customFormat="1">
      <c r="A16" s="104"/>
      <c r="B16" s="15">
        <f>B15+7</f>
        <v>42953</v>
      </c>
      <c r="C16" s="20">
        <f>D15+G15-H15</f>
        <v>1343.9163793441219</v>
      </c>
      <c r="D16" s="17">
        <f>C16+(C16*0.03)</f>
        <v>1384.2338707244455</v>
      </c>
      <c r="E16" s="17">
        <f>C16/3250</f>
        <v>0.41351273210588363</v>
      </c>
      <c r="F16" s="28">
        <f>(D16-C16)/E16</f>
        <v>97.499999999999972</v>
      </c>
      <c r="G16" s="18"/>
      <c r="H16" s="18"/>
      <c r="I16" s="19">
        <f>E16*50/C16</f>
        <v>1.5384615384615382E-2</v>
      </c>
      <c r="J16" s="85">
        <f>(D16-$C4)/$C4</f>
        <v>0.38423387072444554</v>
      </c>
    </row>
    <row r="17" spans="1:10" s="1" customFormat="1" ht="13" thickBot="1">
      <c r="A17" s="105"/>
      <c r="B17" s="15">
        <f>B16+7</f>
        <v>42960</v>
      </c>
      <c r="C17" s="20">
        <f>D16+G16-H16</f>
        <v>1384.2338707244455</v>
      </c>
      <c r="D17" s="17">
        <f>C17+(C17*0.03)</f>
        <v>1425.7608868461789</v>
      </c>
      <c r="E17" s="17">
        <f>C17/3250</f>
        <v>0.42591811406906016</v>
      </c>
      <c r="F17" s="28">
        <f>(D17-C17)/E17</f>
        <v>97.5</v>
      </c>
      <c r="G17" s="26"/>
      <c r="H17" s="18"/>
      <c r="I17" s="19">
        <f>E17*50/C17</f>
        <v>1.5384615384615385E-2</v>
      </c>
      <c r="J17" s="85">
        <f>(D17-$C4)/$C4</f>
        <v>0.42576088684617891</v>
      </c>
    </row>
    <row r="18" spans="1:10" ht="13" thickBot="1">
      <c r="A18" s="78"/>
      <c r="B18" s="13"/>
      <c r="C18" s="22"/>
      <c r="D18" s="23"/>
      <c r="E18" s="23"/>
      <c r="F18" s="27"/>
      <c r="G18" s="30"/>
      <c r="H18" s="10"/>
      <c r="I18" s="24"/>
      <c r="J18" s="86"/>
    </row>
    <row r="19" spans="1:10" s="1" customFormat="1">
      <c r="A19" s="103">
        <v>4</v>
      </c>
      <c r="B19" s="15">
        <f>B17+7</f>
        <v>42967</v>
      </c>
      <c r="C19" s="20">
        <f>D17+G17-H17</f>
        <v>1425.7608868461789</v>
      </c>
      <c r="D19" s="17">
        <f>C19+(C19*0.03)</f>
        <v>1468.5337134515642</v>
      </c>
      <c r="E19" s="17">
        <f>C19/3250</f>
        <v>0.43869565749113199</v>
      </c>
      <c r="F19" s="28">
        <f>(D19-C19)/E19</f>
        <v>97.499999999999758</v>
      </c>
      <c r="G19" s="26"/>
      <c r="H19" s="18"/>
      <c r="I19" s="19">
        <f>E19*50/C19</f>
        <v>1.5384615384615385E-2</v>
      </c>
      <c r="J19" s="85">
        <f>(D19-$C4)/$C4</f>
        <v>0.46853371345156414</v>
      </c>
    </row>
    <row r="20" spans="1:10" s="1" customFormat="1">
      <c r="A20" s="104"/>
      <c r="B20" s="15">
        <f>B19+7</f>
        <v>42974</v>
      </c>
      <c r="C20" s="20">
        <f>D19+G19-H19</f>
        <v>1468.5337134515642</v>
      </c>
      <c r="D20" s="17">
        <f>C20+(C20*0.03)</f>
        <v>1512.5897248551112</v>
      </c>
      <c r="E20" s="17">
        <f>C20/3250</f>
        <v>0.45185652721586589</v>
      </c>
      <c r="F20" s="28">
        <f>(D20-C20)/E20</f>
        <v>97.500000000000213</v>
      </c>
      <c r="G20" s="18"/>
      <c r="H20" s="18"/>
      <c r="I20" s="19">
        <f>E20*50/C20</f>
        <v>1.5384615384615385E-2</v>
      </c>
      <c r="J20" s="85">
        <f>(D20-$C4)/$C4</f>
        <v>0.51258972485511112</v>
      </c>
    </row>
    <row r="21" spans="1:10" s="1" customFormat="1">
      <c r="A21" s="104"/>
      <c r="B21" s="15">
        <f>B20+7</f>
        <v>42981</v>
      </c>
      <c r="C21" s="20">
        <f>D20+G20-H20</f>
        <v>1512.5897248551112</v>
      </c>
      <c r="D21" s="17">
        <f>C21+(C21*0.03)</f>
        <v>1557.9674166007644</v>
      </c>
      <c r="E21" s="17">
        <f>C21/3250</f>
        <v>0.46541222303234192</v>
      </c>
      <c r="F21" s="28">
        <f>(D21-C21)/E21</f>
        <v>97.499999999999787</v>
      </c>
      <c r="G21" s="18"/>
      <c r="H21" s="18"/>
      <c r="I21" s="19">
        <f>E21*50/C21</f>
        <v>1.5384615384615385E-2</v>
      </c>
      <c r="J21" s="85">
        <f>(D21-$C4)/$C4</f>
        <v>0.55796741660076443</v>
      </c>
    </row>
    <row r="22" spans="1:10" s="1" customFormat="1" ht="13" thickBot="1">
      <c r="A22" s="105"/>
      <c r="B22" s="15">
        <f>B21+7</f>
        <v>42988</v>
      </c>
      <c r="C22" s="20">
        <f>D21+G21-H21</f>
        <v>1557.9674166007644</v>
      </c>
      <c r="D22" s="17">
        <f>C22+(C22*0.03)</f>
        <v>1604.7064390987873</v>
      </c>
      <c r="E22" s="17">
        <f>C22/3250</f>
        <v>0.47937458972331215</v>
      </c>
      <c r="F22" s="28">
        <f>(D22-C22)/E22</f>
        <v>97.499999999999943</v>
      </c>
      <c r="G22" s="26"/>
      <c r="H22" s="18"/>
      <c r="I22" s="19">
        <f>E22*50/C22</f>
        <v>1.5384615384615385E-2</v>
      </c>
      <c r="J22" s="85">
        <f>(D22-$C4)/$C4</f>
        <v>0.6047064390987873</v>
      </c>
    </row>
    <row r="23" spans="1:10" ht="13" thickBot="1">
      <c r="A23" s="78"/>
      <c r="B23" s="13"/>
      <c r="C23" s="22"/>
      <c r="D23" s="23"/>
      <c r="E23" s="23"/>
      <c r="F23" s="27"/>
      <c r="G23" s="30"/>
      <c r="H23" s="10"/>
      <c r="I23" s="24"/>
      <c r="J23" s="86"/>
    </row>
    <row r="24" spans="1:10" s="1" customFormat="1">
      <c r="A24" s="103">
        <v>5</v>
      </c>
      <c r="B24" s="15">
        <f>B22+7</f>
        <v>42995</v>
      </c>
      <c r="C24" s="20">
        <f>D22+G22-H22</f>
        <v>1604.7064390987873</v>
      </c>
      <c r="D24" s="17">
        <f>C24+(C24*0.03)</f>
        <v>1652.8476322717509</v>
      </c>
      <c r="E24" s="17">
        <f>C24/3250</f>
        <v>0.49375582741501151</v>
      </c>
      <c r="F24" s="28">
        <f>(D24-C24)/E24</f>
        <v>97.499999999999829</v>
      </c>
      <c r="G24" s="26"/>
      <c r="H24" s="18"/>
      <c r="I24" s="19">
        <f>E24*50/C24</f>
        <v>1.5384615384615385E-2</v>
      </c>
      <c r="J24" s="85">
        <f>(D24-$C4)/$C4</f>
        <v>0.6528476322717508</v>
      </c>
    </row>
    <row r="25" spans="1:10" s="1" customFormat="1">
      <c r="A25" s="104"/>
      <c r="B25" s="15">
        <f>B24+7</f>
        <v>43002</v>
      </c>
      <c r="C25" s="20">
        <f>D24+G24-H24</f>
        <v>1652.8476322717509</v>
      </c>
      <c r="D25" s="17">
        <f>C25+(C25*0.03)</f>
        <v>1702.4330612399033</v>
      </c>
      <c r="E25" s="17">
        <f>C25/3250</f>
        <v>0.50856850223746175</v>
      </c>
      <c r="F25" s="28">
        <f>(D25-C25)/E25</f>
        <v>97.499999999999815</v>
      </c>
      <c r="G25" s="18"/>
      <c r="H25" s="18"/>
      <c r="I25" s="19">
        <f>E25*50/C25</f>
        <v>1.5384615384615384E-2</v>
      </c>
      <c r="J25" s="85">
        <f>(D25-$C4)/$C4</f>
        <v>0.70243306123990323</v>
      </c>
    </row>
    <row r="26" spans="1:10" s="1" customFormat="1">
      <c r="A26" s="104"/>
      <c r="B26" s="15">
        <f>B25+7</f>
        <v>43009</v>
      </c>
      <c r="C26" s="20">
        <f>D25+G25-H25</f>
        <v>1702.4330612399033</v>
      </c>
      <c r="D26" s="17">
        <f>C26+(C26*0.03)</f>
        <v>1753.5060530771004</v>
      </c>
      <c r="E26" s="17">
        <f>C26/3250</f>
        <v>0.52382555730458558</v>
      </c>
      <c r="F26" s="28">
        <f>(D26-C26)/E26</f>
        <v>97.500000000000114</v>
      </c>
      <c r="G26" s="18"/>
      <c r="H26" s="18"/>
      <c r="I26" s="19">
        <f>E26*50/C26</f>
        <v>1.5384615384615382E-2</v>
      </c>
      <c r="J26" s="85">
        <f>(D26-$C4)/$C4</f>
        <v>0.75350605307710039</v>
      </c>
    </row>
    <row r="27" spans="1:10" s="1" customFormat="1" ht="13" thickBot="1">
      <c r="A27" s="105"/>
      <c r="B27" s="15">
        <f>B26+7</f>
        <v>43016</v>
      </c>
      <c r="C27" s="20">
        <f>D26+G26-H26</f>
        <v>1753.5060530771004</v>
      </c>
      <c r="D27" s="17">
        <f>C27+(C27*0.03)</f>
        <v>1806.1112346694135</v>
      </c>
      <c r="E27" s="17">
        <f>C27/3250</f>
        <v>0.53954032402372321</v>
      </c>
      <c r="F27" s="28">
        <f>(D27-C27)/E27</f>
        <v>97.500000000000171</v>
      </c>
      <c r="G27" s="26"/>
      <c r="H27" s="18"/>
      <c r="I27" s="19">
        <f>E27*50/C27</f>
        <v>1.5384615384615384E-2</v>
      </c>
      <c r="J27" s="85">
        <f>(D27-$C4)/$C4</f>
        <v>0.80611123466941348</v>
      </c>
    </row>
    <row r="28" spans="1:10" ht="13" thickBot="1">
      <c r="A28" s="78"/>
      <c r="B28" s="13"/>
      <c r="C28" s="22"/>
      <c r="D28" s="23"/>
      <c r="E28" s="23"/>
      <c r="F28" s="27"/>
      <c r="G28" s="30"/>
      <c r="H28" s="10"/>
      <c r="I28" s="24"/>
      <c r="J28" s="86"/>
    </row>
    <row r="29" spans="1:10" s="1" customFormat="1">
      <c r="A29" s="103">
        <v>6</v>
      </c>
      <c r="B29" s="15">
        <f>B27+7</f>
        <v>43023</v>
      </c>
      <c r="C29" s="20">
        <f>D27+G27-H27</f>
        <v>1806.1112346694135</v>
      </c>
      <c r="D29" s="17">
        <f>C29+(C29*0.03)</f>
        <v>1860.294571709496</v>
      </c>
      <c r="E29" s="17">
        <f>C29/3250</f>
        <v>0.55572653374443493</v>
      </c>
      <c r="F29" s="28">
        <f>(D29-C29)/E29</f>
        <v>97.500000000000185</v>
      </c>
      <c r="G29" s="26"/>
      <c r="H29" s="18"/>
      <c r="I29" s="19">
        <f>E29*50/C29</f>
        <v>1.5384615384615384E-2</v>
      </c>
      <c r="J29" s="85">
        <f>(D29-$C4)/$C4</f>
        <v>0.86029457170949608</v>
      </c>
    </row>
    <row r="30" spans="1:10" s="1" customFormat="1">
      <c r="A30" s="104"/>
      <c r="B30" s="15">
        <f>B29+7</f>
        <v>43030</v>
      </c>
      <c r="C30" s="20">
        <f>D29+G29-H29</f>
        <v>1860.294571709496</v>
      </c>
      <c r="D30" s="17">
        <f>C30+(C30*0.03)</f>
        <v>1916.103408860781</v>
      </c>
      <c r="E30" s="17">
        <f>C30/3250</f>
        <v>0.57239832975676797</v>
      </c>
      <c r="F30" s="28">
        <f>(D30-C30)/E30</f>
        <v>97.500000000000099</v>
      </c>
      <c r="G30" s="18"/>
      <c r="H30" s="18"/>
      <c r="I30" s="19">
        <f>E30*50/C30</f>
        <v>1.5384615384615384E-2</v>
      </c>
      <c r="J30" s="85">
        <f>(D30-$C4)/$C4</f>
        <v>0.91610340886078101</v>
      </c>
    </row>
    <row r="31" spans="1:10" s="1" customFormat="1">
      <c r="A31" s="104"/>
      <c r="B31" s="15">
        <f>B30+7</f>
        <v>43037</v>
      </c>
      <c r="C31" s="20">
        <f>D30+G30-H30</f>
        <v>1916.103408860781</v>
      </c>
      <c r="D31" s="17">
        <f>C31+(C31*0.03)</f>
        <v>1973.5865111266044</v>
      </c>
      <c r="E31" s="17">
        <f>C31/3250</f>
        <v>0.58957027964947106</v>
      </c>
      <c r="F31" s="28">
        <f>(D31-C31)/E31</f>
        <v>97.499999999999929</v>
      </c>
      <c r="G31" s="18"/>
      <c r="H31" s="18"/>
      <c r="I31" s="19">
        <f>E31*50/C31</f>
        <v>1.5384615384615385E-2</v>
      </c>
      <c r="J31" s="85">
        <f>(D31-$C4)/$C4</f>
        <v>0.97358651112660433</v>
      </c>
    </row>
    <row r="32" spans="1:10" s="1" customFormat="1" ht="13" thickBot="1">
      <c r="A32" s="105"/>
      <c r="B32" s="15">
        <f>B31+7</f>
        <v>43044</v>
      </c>
      <c r="C32" s="20">
        <f>D31+G31-H31</f>
        <v>1973.5865111266044</v>
      </c>
      <c r="D32" s="17">
        <f>C32+(C32*0.03)</f>
        <v>2032.7941064604024</v>
      </c>
      <c r="E32" s="17">
        <f>C32/3250</f>
        <v>0.60725738803895524</v>
      </c>
      <c r="F32" s="28">
        <f>(D32-C32)/E32</f>
        <v>97.499999999999858</v>
      </c>
      <c r="G32" s="26"/>
      <c r="H32" s="18"/>
      <c r="I32" s="19">
        <f>E32*50/C32</f>
        <v>1.5384615384615385E-2</v>
      </c>
      <c r="J32" s="85">
        <f>(D32-$C4)/$C4</f>
        <v>1.0327941064604025</v>
      </c>
    </row>
    <row r="33" spans="1:10" ht="13" thickBot="1">
      <c r="A33" s="78"/>
      <c r="B33" s="13"/>
      <c r="C33" s="22"/>
      <c r="D33" s="23"/>
      <c r="E33" s="23"/>
      <c r="F33" s="27"/>
      <c r="G33" s="30"/>
      <c r="H33" s="10"/>
      <c r="I33" s="24"/>
      <c r="J33" s="86"/>
    </row>
    <row r="34" spans="1:10" s="1" customFormat="1">
      <c r="A34" s="103">
        <v>7</v>
      </c>
      <c r="B34" s="15">
        <f>B32+7</f>
        <v>43051</v>
      </c>
      <c r="C34" s="20">
        <f>D32+G32-H32</f>
        <v>2032.7941064604024</v>
      </c>
      <c r="D34" s="17">
        <f>C34+(C34*0.03)</f>
        <v>2093.7779296542144</v>
      </c>
      <c r="E34" s="17">
        <f>C34/3250</f>
        <v>0.62547510968012388</v>
      </c>
      <c r="F34" s="28">
        <f>(D34-C34)/E34</f>
        <v>97.499999999999858</v>
      </c>
      <c r="G34" s="26"/>
      <c r="H34" s="18"/>
      <c r="I34" s="19">
        <f>E34*50/C34</f>
        <v>1.5384615384615387E-2</v>
      </c>
      <c r="J34" s="85">
        <f>(D34-$C4)/$C4</f>
        <v>1.0937779296542145</v>
      </c>
    </row>
    <row r="35" spans="1:10" s="1" customFormat="1">
      <c r="A35" s="104"/>
      <c r="B35" s="15">
        <f>B34+7</f>
        <v>43058</v>
      </c>
      <c r="C35" s="20">
        <f>D34+G34-H34</f>
        <v>2093.7779296542144</v>
      </c>
      <c r="D35" s="17">
        <f>C35+(C35*0.03)</f>
        <v>2156.5912675438408</v>
      </c>
      <c r="E35" s="17">
        <f>C35/3250</f>
        <v>0.64423936297052753</v>
      </c>
      <c r="F35" s="28">
        <f>(D35-C35)/E35</f>
        <v>97.499999999999915</v>
      </c>
      <c r="G35" s="18"/>
      <c r="H35" s="18"/>
      <c r="I35" s="19">
        <f>E35*50/C35</f>
        <v>1.5384615384615384E-2</v>
      </c>
      <c r="J35" s="85">
        <f>(D35-$C4)/$C4</f>
        <v>1.1565912675438408</v>
      </c>
    </row>
    <row r="36" spans="1:10" s="1" customFormat="1">
      <c r="A36" s="104"/>
      <c r="B36" s="15">
        <f>B35+7</f>
        <v>43065</v>
      </c>
      <c r="C36" s="20">
        <f>D35+G35-H35</f>
        <v>2156.5912675438408</v>
      </c>
      <c r="D36" s="17">
        <f>C36+(C36*0.03)</f>
        <v>2221.289005570156</v>
      </c>
      <c r="E36" s="17">
        <f>C36/3250</f>
        <v>0.66356654385964331</v>
      </c>
      <c r="F36" s="28">
        <f>(D36-C36)/E36</f>
        <v>97.499999999999915</v>
      </c>
      <c r="G36" s="18"/>
      <c r="H36" s="18"/>
      <c r="I36" s="19">
        <f>E36*50/C36</f>
        <v>1.5384615384615385E-2</v>
      </c>
      <c r="J36" s="85">
        <f>(D36-$C4)/$C4</f>
        <v>1.221289005570156</v>
      </c>
    </row>
    <row r="37" spans="1:10" s="1" customFormat="1" ht="13" thickBot="1">
      <c r="A37" s="105"/>
      <c r="B37" s="15">
        <f>B36+7</f>
        <v>43072</v>
      </c>
      <c r="C37" s="20">
        <f>D36+G36-H36</f>
        <v>2221.289005570156</v>
      </c>
      <c r="D37" s="17">
        <f>C37+(C37*0.03)</f>
        <v>2287.9276757372604</v>
      </c>
      <c r="E37" s="17">
        <f>C37/3250</f>
        <v>0.6834735401754326</v>
      </c>
      <c r="F37" s="28">
        <f>(D37-C37)/E37</f>
        <v>97.499999999999687</v>
      </c>
      <c r="G37" s="26"/>
      <c r="H37" s="18"/>
      <c r="I37" s="19">
        <f>E37*50/C37</f>
        <v>1.5384615384615385E-2</v>
      </c>
      <c r="J37" s="85">
        <f>(D37-$C4)/$C4</f>
        <v>1.2879276757372604</v>
      </c>
    </row>
    <row r="38" spans="1:10" ht="13" thickBot="1">
      <c r="A38" s="78"/>
      <c r="B38" s="13"/>
      <c r="C38" s="22"/>
      <c r="D38" s="23"/>
      <c r="E38" s="23"/>
      <c r="F38" s="27"/>
      <c r="G38" s="30"/>
      <c r="H38" s="10"/>
      <c r="I38" s="24"/>
      <c r="J38" s="86"/>
    </row>
    <row r="39" spans="1:10" s="1" customFormat="1">
      <c r="A39" s="103">
        <v>8</v>
      </c>
      <c r="B39" s="15">
        <f>B37+7</f>
        <v>43079</v>
      </c>
      <c r="C39" s="20">
        <f>D37+G37-H37</f>
        <v>2287.9276757372604</v>
      </c>
      <c r="D39" s="17">
        <f>C39+(C39*0.03)</f>
        <v>2356.5655060093782</v>
      </c>
      <c r="E39" s="17">
        <f>C39/3250</f>
        <v>0.70397774638069555</v>
      </c>
      <c r="F39" s="28">
        <f>(D39-C39)/E39</f>
        <v>97.499999999999915</v>
      </c>
      <c r="G39" s="26"/>
      <c r="H39" s="18"/>
      <c r="I39" s="19">
        <f>E39*50/C39</f>
        <v>1.5384615384615384E-2</v>
      </c>
      <c r="J39" s="85">
        <f>(D39-$C4)/$C4</f>
        <v>1.3565655060093782</v>
      </c>
    </row>
    <row r="40" spans="1:10" s="1" customFormat="1">
      <c r="A40" s="104"/>
      <c r="B40" s="15">
        <f>B39+7</f>
        <v>43086</v>
      </c>
      <c r="C40" s="20">
        <f>D39+G39-H39</f>
        <v>2356.5655060093782</v>
      </c>
      <c r="D40" s="17">
        <f>C40+(C40*0.03)</f>
        <v>2427.2624711896597</v>
      </c>
      <c r="E40" s="17">
        <f>C40/3250</f>
        <v>0.72509707877211638</v>
      </c>
      <c r="F40" s="28">
        <f>(D40-C40)/E40</f>
        <v>97.500000000000199</v>
      </c>
      <c r="G40" s="18"/>
      <c r="H40" s="18"/>
      <c r="I40" s="19">
        <f>E40*50/C40</f>
        <v>1.5384615384615385E-2</v>
      </c>
      <c r="J40" s="85">
        <f>(D40-$C4)/$C4</f>
        <v>1.4272624711896598</v>
      </c>
    </row>
    <row r="41" spans="1:10" s="1" customFormat="1">
      <c r="A41" s="104"/>
      <c r="B41" s="15">
        <f>B40+7</f>
        <v>43093</v>
      </c>
      <c r="C41" s="20">
        <f>D40+G40-H40</f>
        <v>2427.2624711896597</v>
      </c>
      <c r="D41" s="17">
        <f>C41+(C41*0.03)</f>
        <v>2500.0803453253493</v>
      </c>
      <c r="E41" s="17">
        <f>C41/3250</f>
        <v>0.74684999113527994</v>
      </c>
      <c r="F41" s="28">
        <f>(D41-C41)/E41</f>
        <v>97.499999999999787</v>
      </c>
      <c r="G41" s="18"/>
      <c r="H41" s="18"/>
      <c r="I41" s="19">
        <f>E41*50/C41</f>
        <v>1.5384615384615385E-2</v>
      </c>
      <c r="J41" s="85">
        <f>(D41-$C4)/$C4</f>
        <v>1.5000803453253493</v>
      </c>
    </row>
    <row r="42" spans="1:10" s="1" customFormat="1" ht="13" thickBot="1">
      <c r="A42" s="105"/>
      <c r="B42" s="15">
        <f>B41+7</f>
        <v>43100</v>
      </c>
      <c r="C42" s="20">
        <f>D41+G41-H41</f>
        <v>2500.0803453253493</v>
      </c>
      <c r="D42" s="17">
        <f>C42+(C42*0.03)</f>
        <v>2575.08275568511</v>
      </c>
      <c r="E42" s="17">
        <f>C42/3250</f>
        <v>0.7692554908693382</v>
      </c>
      <c r="F42" s="28">
        <f>(D42-C42)/E42</f>
        <v>97.500000000000284</v>
      </c>
      <c r="G42" s="26"/>
      <c r="H42" s="18"/>
      <c r="I42" s="19">
        <f>E42*50/C42</f>
        <v>1.5384615384615382E-2</v>
      </c>
      <c r="J42" s="85">
        <f>(D42-$C4)/$C4</f>
        <v>1.5750827556851099</v>
      </c>
    </row>
    <row r="43" spans="1:10" ht="13" thickBot="1">
      <c r="A43" s="78"/>
      <c r="B43" s="13"/>
      <c r="C43" s="22"/>
      <c r="D43" s="23"/>
      <c r="E43" s="23"/>
      <c r="F43" s="27"/>
      <c r="G43" s="30"/>
      <c r="H43" s="10"/>
      <c r="I43" s="24"/>
      <c r="J43" s="86"/>
    </row>
    <row r="44" spans="1:10" s="1" customFormat="1">
      <c r="A44" s="103">
        <v>9</v>
      </c>
      <c r="B44" s="15">
        <f>B42+7</f>
        <v>43107</v>
      </c>
      <c r="C44" s="20">
        <f>D42+G42-H42</f>
        <v>2575.08275568511</v>
      </c>
      <c r="D44" s="17">
        <f>C44+(C44*0.03)</f>
        <v>2652.3352383556635</v>
      </c>
      <c r="E44" s="17">
        <f>C44/3250</f>
        <v>0.7923331555954185</v>
      </c>
      <c r="F44" s="28">
        <f>(D44-C44)/E44</f>
        <v>97.500000000000242</v>
      </c>
      <c r="G44" s="26"/>
      <c r="H44" s="52"/>
      <c r="I44" s="19">
        <f>E44*50/C44</f>
        <v>1.5384615384615385E-2</v>
      </c>
      <c r="J44" s="85">
        <f>(D44-$C4)/$C4</f>
        <v>1.6523352383556635</v>
      </c>
    </row>
    <row r="45" spans="1:10" s="1" customFormat="1">
      <c r="A45" s="104"/>
      <c r="B45" s="15">
        <f>B44+7</f>
        <v>43114</v>
      </c>
      <c r="C45" s="20">
        <f>D44+G44-H44</f>
        <v>2652.3352383556635</v>
      </c>
      <c r="D45" s="17">
        <f>C45+(C45*0.03)</f>
        <v>2731.9052955063335</v>
      </c>
      <c r="E45" s="17">
        <f>C45/3250</f>
        <v>0.81610315026328106</v>
      </c>
      <c r="F45" s="28">
        <f>(D45-C45)/E45</f>
        <v>97.500000000000099</v>
      </c>
      <c r="G45" s="26"/>
      <c r="H45" s="33"/>
      <c r="I45" s="19">
        <f>E45*50/C45</f>
        <v>1.5384615384615385E-2</v>
      </c>
      <c r="J45" s="85">
        <f>(D45-$C4)/$C4</f>
        <v>1.7319052955063334</v>
      </c>
    </row>
    <row r="46" spans="1:10" s="1" customFormat="1">
      <c r="A46" s="104"/>
      <c r="B46" s="15">
        <f>B45+7</f>
        <v>43121</v>
      </c>
      <c r="C46" s="20">
        <f>D45+G45-H45</f>
        <v>2731.9052955063335</v>
      </c>
      <c r="D46" s="17">
        <f>C46+(C46*0.03)</f>
        <v>2813.8624543715237</v>
      </c>
      <c r="E46" s="17">
        <f>C46/3250</f>
        <v>0.84058624477117949</v>
      </c>
      <c r="F46" s="28">
        <f>(D46-C46)/E46</f>
        <v>97.500000000000227</v>
      </c>
      <c r="G46" s="26"/>
      <c r="H46" s="33"/>
      <c r="I46" s="19">
        <f>E46*50/C46</f>
        <v>1.5384615384615384E-2</v>
      </c>
      <c r="J46" s="85">
        <f>(D46-$C4)/$C4</f>
        <v>1.8138624543715236</v>
      </c>
    </row>
    <row r="47" spans="1:10" s="1" customFormat="1" ht="13" thickBot="1">
      <c r="A47" s="105"/>
      <c r="B47" s="15">
        <f>B46+7</f>
        <v>43128</v>
      </c>
      <c r="C47" s="20">
        <f>D46+G46-H46</f>
        <v>2813.8624543715237</v>
      </c>
      <c r="D47" s="17">
        <f>C47+(C47*0.03)</f>
        <v>2898.2783280026692</v>
      </c>
      <c r="E47" s="17">
        <f>C47/3250</f>
        <v>0.865803832114315</v>
      </c>
      <c r="F47" s="28">
        <f>(D47-C47)/E47</f>
        <v>97.499999999999858</v>
      </c>
      <c r="G47" s="26"/>
      <c r="H47" s="33"/>
      <c r="I47" s="19">
        <f>E47*50/C47</f>
        <v>1.5384615384615384E-2</v>
      </c>
      <c r="J47" s="85">
        <f>(D47-$C4)/$C4</f>
        <v>1.8982783280026692</v>
      </c>
    </row>
    <row r="48" spans="1:10" ht="13" thickBot="1">
      <c r="A48" s="78"/>
      <c r="B48" s="13"/>
      <c r="C48" s="22"/>
      <c r="D48" s="23"/>
      <c r="E48" s="23"/>
      <c r="F48" s="27"/>
      <c r="G48" s="30"/>
      <c r="H48" s="10"/>
      <c r="I48" s="24"/>
      <c r="J48" s="86"/>
    </row>
    <row r="49" spans="1:10" s="1" customFormat="1">
      <c r="A49" s="103">
        <v>10</v>
      </c>
      <c r="B49" s="15">
        <f>B47+7</f>
        <v>43135</v>
      </c>
      <c r="C49" s="20">
        <f>D47+G47-H47</f>
        <v>2898.2783280026692</v>
      </c>
      <c r="D49" s="17">
        <f>C49+(C49*0.03)</f>
        <v>2985.2266778427493</v>
      </c>
      <c r="E49" s="17">
        <f>C49/3250</f>
        <v>0.89177794707774438</v>
      </c>
      <c r="F49" s="28">
        <f>(D49-C49)/E49</f>
        <v>97.499999999999943</v>
      </c>
      <c r="G49" s="26"/>
      <c r="H49" s="33"/>
      <c r="I49" s="19">
        <f>E49*50/C49</f>
        <v>1.5384615384615385E-2</v>
      </c>
      <c r="J49" s="85">
        <f>(D49-$C4)/$C4</f>
        <v>1.9852266778427492</v>
      </c>
    </row>
    <row r="50" spans="1:10" s="1" customFormat="1">
      <c r="A50" s="104"/>
      <c r="B50" s="15">
        <f>B49+7</f>
        <v>43142</v>
      </c>
      <c r="C50" s="20">
        <f>D49+G49-H49</f>
        <v>2985.2266778427493</v>
      </c>
      <c r="D50" s="17">
        <f>C50+(C50*0.03)</f>
        <v>3074.7834781780316</v>
      </c>
      <c r="E50" s="17">
        <f>C50/3250</f>
        <v>0.91853128549007668</v>
      </c>
      <c r="F50" s="28">
        <f>(D50-C50)/E50</f>
        <v>97.499999999999844</v>
      </c>
      <c r="G50" s="26"/>
      <c r="H50" s="33"/>
      <c r="I50" s="19">
        <f>E50*50/C50</f>
        <v>1.5384615384615384E-2</v>
      </c>
      <c r="J50" s="85">
        <f>(D50-$C4)/$C4</f>
        <v>2.0747834781780314</v>
      </c>
    </row>
    <row r="51" spans="1:10" s="1" customFormat="1">
      <c r="A51" s="104"/>
      <c r="B51" s="15">
        <f>B50+7</f>
        <v>43149</v>
      </c>
      <c r="C51" s="20">
        <f>D50+G50-H50</f>
        <v>3074.7834781780316</v>
      </c>
      <c r="D51" s="17">
        <f>C51+(C51*0.03)</f>
        <v>3167.0269825233727</v>
      </c>
      <c r="E51" s="17">
        <f>C51/3250</f>
        <v>0.94608722405477896</v>
      </c>
      <c r="F51" s="28">
        <f>(D51-C51)/E51</f>
        <v>97.500000000000142</v>
      </c>
      <c r="G51" s="26"/>
      <c r="H51" s="33"/>
      <c r="I51" s="19">
        <f>E51*50/C51</f>
        <v>1.5384615384615384E-2</v>
      </c>
      <c r="J51" s="85">
        <f>(D51-$C4)/$C4</f>
        <v>2.1670269825233728</v>
      </c>
    </row>
    <row r="52" spans="1:10" s="1" customFormat="1" ht="13" thickBot="1">
      <c r="A52" s="105"/>
      <c r="B52" s="15">
        <f>B51+7</f>
        <v>43156</v>
      </c>
      <c r="C52" s="20">
        <f>D51+G51-H51</f>
        <v>3167.0269825233727</v>
      </c>
      <c r="D52" s="17">
        <f>C52+(C52*0.03)</f>
        <v>3262.0377919990738</v>
      </c>
      <c r="E52" s="17">
        <f>C52/3250</f>
        <v>0.9744698407764224</v>
      </c>
      <c r="F52" s="28">
        <f>(D52-C52)/E52</f>
        <v>97.499999999999886</v>
      </c>
      <c r="G52" s="26"/>
      <c r="H52" s="33"/>
      <c r="I52" s="19">
        <f>E52*50/C52</f>
        <v>1.5384615384615385E-2</v>
      </c>
      <c r="J52" s="85">
        <f>(D52-$C4)/$C4</f>
        <v>2.2620377919990737</v>
      </c>
    </row>
    <row r="53" spans="1:10" ht="13" thickBot="1">
      <c r="A53" s="78"/>
      <c r="B53" s="13"/>
      <c r="C53" s="22"/>
      <c r="D53" s="23"/>
      <c r="E53" s="23"/>
      <c r="F53" s="27"/>
      <c r="G53" s="30"/>
      <c r="H53" s="10"/>
      <c r="I53" s="24"/>
      <c r="J53" s="86"/>
    </row>
    <row r="54" spans="1:10" s="1" customFormat="1">
      <c r="A54" s="103">
        <v>11</v>
      </c>
      <c r="B54" s="15">
        <f>B52+7</f>
        <v>43163</v>
      </c>
      <c r="C54" s="20">
        <f>D52+G52-H52</f>
        <v>3262.0377919990738</v>
      </c>
      <c r="D54" s="17">
        <f>C54+(C54*0.03)</f>
        <v>3359.8989257590461</v>
      </c>
      <c r="E54" s="17">
        <f>C54/3250</f>
        <v>1.0037039359997151</v>
      </c>
      <c r="F54" s="28">
        <f>(D54-C54)/E54</f>
        <v>97.500000000000071</v>
      </c>
      <c r="G54" s="26"/>
      <c r="H54" s="33"/>
      <c r="I54" s="19">
        <f>E54*50/C54</f>
        <v>1.5384615384615385E-2</v>
      </c>
      <c r="J54" s="85">
        <f>(D54-$C4)/$C4</f>
        <v>2.3598989257590461</v>
      </c>
    </row>
    <row r="55" spans="1:10" s="1" customFormat="1">
      <c r="A55" s="104"/>
      <c r="B55" s="15">
        <f>B54+7</f>
        <v>43170</v>
      </c>
      <c r="C55" s="20">
        <f>D54+G54-H54</f>
        <v>3359.8989257590461</v>
      </c>
      <c r="D55" s="17">
        <f>C55+(C55*0.03)</f>
        <v>3460.6958935318175</v>
      </c>
      <c r="E55" s="17">
        <f>C55/3250</f>
        <v>1.0338150540797064</v>
      </c>
      <c r="F55" s="28">
        <f>(D55-C55)/E55</f>
        <v>97.500000000000114</v>
      </c>
      <c r="G55" s="26"/>
      <c r="H55" s="33"/>
      <c r="I55" s="19">
        <f>E55*50/C55</f>
        <v>1.5384615384615382E-2</v>
      </c>
      <c r="J55" s="85">
        <f>(D55-$C4)/$C4</f>
        <v>2.4606958935318177</v>
      </c>
    </row>
    <row r="56" spans="1:10" s="1" customFormat="1">
      <c r="A56" s="104"/>
      <c r="B56" s="15">
        <f>B55+7</f>
        <v>43177</v>
      </c>
      <c r="C56" s="20">
        <f>D55+G55-H55</f>
        <v>3460.6958935318175</v>
      </c>
      <c r="D56" s="17">
        <f>C56+(C56*0.03)</f>
        <v>3564.516770337772</v>
      </c>
      <c r="E56" s="17">
        <f>C56/3250</f>
        <v>1.0648295057020978</v>
      </c>
      <c r="F56" s="28">
        <f>(D56-C56)/E56</f>
        <v>97.499999999999886</v>
      </c>
      <c r="G56" s="26"/>
      <c r="H56" s="33"/>
      <c r="I56" s="19">
        <f>E56*50/C56</f>
        <v>1.5384615384615385E-2</v>
      </c>
      <c r="J56" s="85">
        <f>(D56-$C4)/$C4</f>
        <v>2.564516770337772</v>
      </c>
    </row>
    <row r="57" spans="1:10" s="1" customFormat="1" ht="13" thickBot="1">
      <c r="A57" s="105"/>
      <c r="B57" s="15">
        <f>B56+7</f>
        <v>43184</v>
      </c>
      <c r="C57" s="20">
        <f>D56+G56-H56</f>
        <v>3564.516770337772</v>
      </c>
      <c r="D57" s="17">
        <f>C57+(C57*0.03)</f>
        <v>3671.4522734479051</v>
      </c>
      <c r="E57" s="17">
        <f>C57/3250</f>
        <v>1.0967743908731606</v>
      </c>
      <c r="F57" s="28">
        <f>(D57-C57)/E57</f>
        <v>97.499999999999986</v>
      </c>
      <c r="G57" s="26"/>
      <c r="H57" s="33"/>
      <c r="I57" s="19">
        <f>E57*50/C57</f>
        <v>1.5384615384615384E-2</v>
      </c>
      <c r="J57" s="85">
        <f>(D57-$C4)/$C4</f>
        <v>2.6714522734479051</v>
      </c>
    </row>
    <row r="58" spans="1:10" ht="13" thickBot="1">
      <c r="A58" s="78"/>
      <c r="B58" s="13"/>
      <c r="C58" s="22"/>
      <c r="D58" s="23"/>
      <c r="E58" s="23"/>
      <c r="F58" s="27"/>
      <c r="G58" s="30"/>
      <c r="H58" s="10"/>
      <c r="I58" s="24"/>
      <c r="J58" s="86"/>
    </row>
    <row r="59" spans="1:10" s="1" customFormat="1">
      <c r="A59" s="103">
        <v>12</v>
      </c>
      <c r="B59" s="15">
        <f>B57+7</f>
        <v>43191</v>
      </c>
      <c r="C59" s="20">
        <f>D57+G57-H57</f>
        <v>3671.4522734479051</v>
      </c>
      <c r="D59" s="17">
        <f>C59+(C59*0.03)</f>
        <v>3781.5958416513422</v>
      </c>
      <c r="E59" s="17">
        <f>C59/3250</f>
        <v>1.1296776225993554</v>
      </c>
      <c r="F59" s="28">
        <f>(D59-C59)/E59</f>
        <v>97.499999999999943</v>
      </c>
      <c r="G59" s="26"/>
      <c r="H59" s="33"/>
      <c r="I59" s="19">
        <f>E59*50/C59</f>
        <v>1.5384615384615384E-2</v>
      </c>
      <c r="J59" s="85">
        <f>(D59-$C4)/$C4</f>
        <v>2.7815958416513422</v>
      </c>
    </row>
    <row r="60" spans="1:10" s="1" customFormat="1">
      <c r="A60" s="104"/>
      <c r="B60" s="15">
        <f>B59+7</f>
        <v>43198</v>
      </c>
      <c r="C60" s="20">
        <f>D59+G59-H59</f>
        <v>3781.5958416513422</v>
      </c>
      <c r="D60" s="17">
        <f>C60+(C60*0.03)</f>
        <v>3895.0437169008824</v>
      </c>
      <c r="E60" s="17">
        <f>C60/3250</f>
        <v>1.163567951277336</v>
      </c>
      <c r="F60" s="28">
        <f>(D60-C60)/E60</f>
        <v>97.499999999999929</v>
      </c>
      <c r="G60" s="26"/>
      <c r="H60" s="33"/>
      <c r="I60" s="19">
        <f>E60*50/C60</f>
        <v>1.5384615384615384E-2</v>
      </c>
      <c r="J60" s="85">
        <f>(D60-$C4)/$C4</f>
        <v>2.8950437169008825</v>
      </c>
    </row>
    <row r="61" spans="1:10" s="1" customFormat="1">
      <c r="A61" s="104"/>
      <c r="B61" s="15">
        <f>B60+7</f>
        <v>43205</v>
      </c>
      <c r="C61" s="20">
        <f>D60+G60-H60</f>
        <v>3895.0437169008824</v>
      </c>
      <c r="D61" s="17">
        <f>C61+(C61*0.03)</f>
        <v>4011.8950284079087</v>
      </c>
      <c r="E61" s="17">
        <f>C61/3250</f>
        <v>1.1984749898156561</v>
      </c>
      <c r="F61" s="28">
        <f>(D61-C61)/E61</f>
        <v>97.499999999999915</v>
      </c>
      <c r="G61" s="26"/>
      <c r="H61" s="33"/>
      <c r="I61" s="19">
        <f>E61*50/C61</f>
        <v>1.5384615384615385E-2</v>
      </c>
      <c r="J61" s="85">
        <f>(D61-$C4)/$C4</f>
        <v>3.0118950284079089</v>
      </c>
    </row>
    <row r="62" spans="1:10" s="1" customFormat="1" ht="13" thickBot="1">
      <c r="A62" s="105"/>
      <c r="B62" s="15">
        <f>B61+7</f>
        <v>43212</v>
      </c>
      <c r="C62" s="20">
        <f>D61+G61-H61</f>
        <v>4011.8950284079087</v>
      </c>
      <c r="D62" s="17">
        <f>C62+(C62*0.03)</f>
        <v>4132.2518792601459</v>
      </c>
      <c r="E62" s="17">
        <f>C62/3250</f>
        <v>1.2344292395101257</v>
      </c>
      <c r="F62" s="28">
        <f>(D62-C62)/E62</f>
        <v>97.499999999999901</v>
      </c>
      <c r="G62" s="26"/>
      <c r="H62" s="33"/>
      <c r="I62" s="19">
        <f>E62*50/C62</f>
        <v>1.5384615384615384E-2</v>
      </c>
      <c r="J62" s="85">
        <f>(D62-$C4)/$C4</f>
        <v>3.1322518792601457</v>
      </c>
    </row>
    <row r="63" spans="1:10" ht="13" thickBot="1">
      <c r="A63" s="78"/>
      <c r="B63" s="13"/>
      <c r="C63" s="22"/>
      <c r="D63" s="23"/>
      <c r="E63" s="23"/>
      <c r="F63" s="27"/>
      <c r="G63" s="30"/>
      <c r="H63" s="10"/>
      <c r="I63" s="24"/>
      <c r="J63" s="86"/>
    </row>
    <row r="64" spans="1:10" s="1" customFormat="1">
      <c r="A64" s="103">
        <v>13</v>
      </c>
      <c r="B64" s="15">
        <f>B62+7</f>
        <v>43219</v>
      </c>
      <c r="C64" s="20">
        <f>D62+G62-H62</f>
        <v>4132.2518792601459</v>
      </c>
      <c r="D64" s="17">
        <f>C64+(C64*0.03)</f>
        <v>4256.2194356379505</v>
      </c>
      <c r="E64" s="17">
        <f>C64/3250</f>
        <v>1.2714621166954294</v>
      </c>
      <c r="F64" s="28">
        <f>(D64-C64)/E64</f>
        <v>97.500000000000199</v>
      </c>
      <c r="G64" s="26"/>
      <c r="H64" s="33"/>
      <c r="I64" s="19">
        <f>E64*50/C64</f>
        <v>1.5384615384615384E-2</v>
      </c>
      <c r="J64" s="85">
        <f>(D64-$C4)/$C4</f>
        <v>3.2562194356379504</v>
      </c>
    </row>
    <row r="65" spans="1:10" s="1" customFormat="1">
      <c r="A65" s="104"/>
      <c r="B65" s="15">
        <f>B64+7</f>
        <v>43226</v>
      </c>
      <c r="C65" s="20">
        <f>D64+G64-H64</f>
        <v>4256.2194356379505</v>
      </c>
      <c r="D65" s="17">
        <f>C65+(C65*0.03)</f>
        <v>4383.9060187070891</v>
      </c>
      <c r="E65" s="17">
        <f>C65/3250</f>
        <v>1.3096059801962925</v>
      </c>
      <c r="F65" s="28">
        <f>(D65-C65)/E65</f>
        <v>97.500000000000043</v>
      </c>
      <c r="G65" s="26"/>
      <c r="H65" s="33"/>
      <c r="I65" s="19">
        <f>E65*50/C65</f>
        <v>1.5384615384615385E-2</v>
      </c>
      <c r="J65" s="85">
        <f>(D65-$C4)/$C4</f>
        <v>3.3839060187070888</v>
      </c>
    </row>
    <row r="66" spans="1:10" s="1" customFormat="1">
      <c r="A66" s="104"/>
      <c r="B66" s="15">
        <f>B65+7</f>
        <v>43233</v>
      </c>
      <c r="C66" s="20">
        <f>D65+G65-H65</f>
        <v>4383.9060187070891</v>
      </c>
      <c r="D66" s="17">
        <f>C66+(C66*0.03)</f>
        <v>4515.4231992683017</v>
      </c>
      <c r="E66" s="17">
        <f>C66/3250</f>
        <v>1.3488941596021813</v>
      </c>
      <c r="F66" s="28">
        <f>(D66-C66)/E66</f>
        <v>97.499999999999957</v>
      </c>
      <c r="G66" s="26"/>
      <c r="H66" s="33"/>
      <c r="I66" s="19">
        <f>E66*50/C66</f>
        <v>1.5384615384615384E-2</v>
      </c>
      <c r="J66" s="85">
        <f>(D66-$C4)/$C4</f>
        <v>3.5154231992683016</v>
      </c>
    </row>
    <row r="67" spans="1:10" s="1" customFormat="1" ht="13" thickBot="1">
      <c r="A67" s="105"/>
      <c r="B67" s="15">
        <f>B66+7</f>
        <v>43240</v>
      </c>
      <c r="C67" s="20">
        <f>D66+G66-H66</f>
        <v>4515.4231992683017</v>
      </c>
      <c r="D67" s="17">
        <f>C67+(C67*0.03)</f>
        <v>4650.8858952463506</v>
      </c>
      <c r="E67" s="17">
        <f>C67/3250</f>
        <v>1.3893609843902466</v>
      </c>
      <c r="F67" s="28">
        <f>(D67-C67)/E67</f>
        <v>97.499999999999929</v>
      </c>
      <c r="G67" s="26"/>
      <c r="H67" s="33"/>
      <c r="I67" s="19">
        <f>E67*50/C67</f>
        <v>1.5384615384615382E-2</v>
      </c>
      <c r="J67" s="85">
        <f>(D67-$C4)/$C4</f>
        <v>3.6508858952463505</v>
      </c>
    </row>
    <row r="68" spans="1:10" ht="13" thickBot="1">
      <c r="A68" s="78"/>
      <c r="B68" s="13"/>
      <c r="C68" s="22"/>
      <c r="D68" s="23"/>
      <c r="E68" s="23"/>
      <c r="F68" s="27"/>
      <c r="G68" s="30"/>
      <c r="H68" s="10"/>
      <c r="I68" s="24"/>
      <c r="J68" s="86"/>
    </row>
    <row r="69" spans="1:10" s="1" customFormat="1">
      <c r="A69" s="103">
        <v>14</v>
      </c>
      <c r="B69" s="15">
        <f>B67+7</f>
        <v>43247</v>
      </c>
      <c r="C69" s="20">
        <f>D67+G67-H67</f>
        <v>4650.8858952463506</v>
      </c>
      <c r="D69" s="17">
        <f>C69+(C69*0.03)</f>
        <v>4790.4124721037415</v>
      </c>
      <c r="E69" s="17">
        <f>C69/3250</f>
        <v>1.4310418139219541</v>
      </c>
      <c r="F69" s="28">
        <f>(D69-C69)/E69</f>
        <v>97.500000000000242</v>
      </c>
      <c r="G69" s="26"/>
      <c r="H69" s="33"/>
      <c r="I69" s="19">
        <f>E69*50/C69</f>
        <v>1.5384615384615385E-2</v>
      </c>
      <c r="J69" s="85">
        <f>(D69-$C4)/$C4</f>
        <v>3.7904124721037413</v>
      </c>
    </row>
    <row r="70" spans="1:10" s="1" customFormat="1">
      <c r="A70" s="104"/>
      <c r="B70" s="15">
        <f>B69+7</f>
        <v>43254</v>
      </c>
      <c r="C70" s="20">
        <f>D69+G69-H69</f>
        <v>4790.4124721037415</v>
      </c>
      <c r="D70" s="17">
        <f>C70+(C70*0.03)</f>
        <v>4934.1248462668536</v>
      </c>
      <c r="E70" s="17">
        <f>C70/3250</f>
        <v>1.4739730683396128</v>
      </c>
      <c r="F70" s="28">
        <f>(D70-C70)/E70</f>
        <v>97.499999999999929</v>
      </c>
      <c r="G70" s="26"/>
      <c r="H70" s="63"/>
      <c r="I70" s="19">
        <f>E70*50/C70</f>
        <v>1.5384615384615387E-2</v>
      </c>
      <c r="J70" s="85">
        <f>(D70-$C4)/$C4</f>
        <v>3.9341248462668537</v>
      </c>
    </row>
    <row r="71" spans="1:10" s="1" customFormat="1">
      <c r="A71" s="104"/>
      <c r="B71" s="15">
        <f>B70+7</f>
        <v>43261</v>
      </c>
      <c r="C71" s="20">
        <f>D70+G70-H70</f>
        <v>4934.1248462668536</v>
      </c>
      <c r="D71" s="17">
        <f>C71+(C71*0.03)</f>
        <v>5082.148591654859</v>
      </c>
      <c r="E71" s="17">
        <f>C71/3250</f>
        <v>1.518192260389801</v>
      </c>
      <c r="F71" s="28">
        <f>(D71-C71)/E71</f>
        <v>97.499999999999872</v>
      </c>
      <c r="G71" s="26"/>
      <c r="H71" s="33"/>
      <c r="I71" s="19">
        <f>E71*50/C71</f>
        <v>1.5384615384615384E-2</v>
      </c>
      <c r="J71" s="85">
        <f>(D71-$C4)/$C4</f>
        <v>4.0821485916548594</v>
      </c>
    </row>
    <row r="72" spans="1:10" s="1" customFormat="1" ht="13" thickBot="1">
      <c r="A72" s="105"/>
      <c r="B72" s="15">
        <f>B71+7</f>
        <v>43268</v>
      </c>
      <c r="C72" s="20">
        <f>D71+G71-H71</f>
        <v>5082.148591654859</v>
      </c>
      <c r="D72" s="17">
        <f>C72+(C72*0.03)</f>
        <v>5234.6130494045046</v>
      </c>
      <c r="E72" s="17">
        <f>C72/3250</f>
        <v>1.563738028201495</v>
      </c>
      <c r="F72" s="28">
        <f>(D72-C72)/E72</f>
        <v>97.499999999999886</v>
      </c>
      <c r="G72" s="26"/>
      <c r="H72" s="33"/>
      <c r="I72" s="19">
        <f>E72*50/C72</f>
        <v>1.5384615384615384E-2</v>
      </c>
      <c r="J72" s="85">
        <f>(D72-$C4)/$C4</f>
        <v>4.2346130494045049</v>
      </c>
    </row>
    <row r="73" spans="1:10" ht="13" thickBot="1">
      <c r="A73" s="78"/>
      <c r="B73" s="13"/>
      <c r="C73" s="22"/>
      <c r="D73" s="23"/>
      <c r="E73" s="23"/>
      <c r="F73" s="27"/>
      <c r="G73" s="30"/>
      <c r="H73" s="10"/>
      <c r="I73" s="24"/>
      <c r="J73" s="86"/>
    </row>
    <row r="74" spans="1:10" s="1" customFormat="1">
      <c r="A74" s="103">
        <v>15</v>
      </c>
      <c r="B74" s="15">
        <f>B72+7</f>
        <v>43275</v>
      </c>
      <c r="C74" s="20">
        <f>D72+G72-H72</f>
        <v>5234.6130494045046</v>
      </c>
      <c r="D74" s="17">
        <f>C74+(C74*0.03)</f>
        <v>5391.6514408866396</v>
      </c>
      <c r="E74" s="17">
        <f>C74/3250</f>
        <v>1.6106501690475399</v>
      </c>
      <c r="F74" s="28">
        <f>(D74-C74)/E74</f>
        <v>97.499999999999915</v>
      </c>
      <c r="G74" s="26"/>
      <c r="H74" s="33"/>
      <c r="I74" s="19">
        <f>E74*50/C74</f>
        <v>1.5384615384615384E-2</v>
      </c>
      <c r="J74" s="85">
        <f>(D74-$C4)/$C4</f>
        <v>4.3916514408866396</v>
      </c>
    </row>
    <row r="75" spans="1:10" s="1" customFormat="1">
      <c r="A75" s="104"/>
      <c r="B75" s="15">
        <f>B74+7</f>
        <v>43282</v>
      </c>
      <c r="C75" s="20">
        <f>D74+G74-H74</f>
        <v>5391.6514408866396</v>
      </c>
      <c r="D75" s="17">
        <f>C75+(C75*0.03)</f>
        <v>5553.4009841132392</v>
      </c>
      <c r="E75" s="17">
        <f>C75/3250</f>
        <v>1.6589696741189661</v>
      </c>
      <c r="F75" s="28">
        <f>(D75-C75)/E75</f>
        <v>97.500000000000242</v>
      </c>
      <c r="G75" s="26"/>
      <c r="H75" s="33"/>
      <c r="I75" s="19">
        <f>E75*50/C75</f>
        <v>1.5384615384615385E-2</v>
      </c>
      <c r="J75" s="85">
        <f>(D75-$C4)/$C4</f>
        <v>4.5534009841132397</v>
      </c>
    </row>
    <row r="76" spans="1:10" s="1" customFormat="1">
      <c r="A76" s="104"/>
      <c r="B76" s="15">
        <f>B75+7</f>
        <v>43289</v>
      </c>
      <c r="C76" s="20">
        <f>D75+G75-H75</f>
        <v>5553.4009841132392</v>
      </c>
      <c r="D76" s="17">
        <f>C76+(C76*0.03)</f>
        <v>5720.0030136366368</v>
      </c>
      <c r="E76" s="17">
        <f>C76/3250</f>
        <v>1.7087387643425351</v>
      </c>
      <c r="F76" s="28">
        <f>(D76-C76)/E76</f>
        <v>97.500000000000199</v>
      </c>
      <c r="G76" s="26"/>
      <c r="H76" s="33"/>
      <c r="I76" s="19">
        <f>E76*50/C76</f>
        <v>1.5384615384615384E-2</v>
      </c>
      <c r="J76" s="85">
        <f>(D76-$C4)/$C4</f>
        <v>4.7200030136366369</v>
      </c>
    </row>
    <row r="77" spans="1:10" s="1" customFormat="1" ht="13" thickBot="1">
      <c r="A77" s="105"/>
      <c r="B77" s="15">
        <f>B76+7</f>
        <v>43296</v>
      </c>
      <c r="C77" s="20">
        <f>D76+G76-H76</f>
        <v>5720.0030136366368</v>
      </c>
      <c r="D77" s="17">
        <f>C77+(C77*0.03)</f>
        <v>5891.6031040457356</v>
      </c>
      <c r="E77" s="17">
        <f>C77/3250</f>
        <v>1.7600009272728112</v>
      </c>
      <c r="F77" s="28">
        <f>(D77-C77)/E77</f>
        <v>97.499999999999844</v>
      </c>
      <c r="G77" s="26"/>
      <c r="H77" s="33"/>
      <c r="I77" s="19">
        <f>E77*50/C77</f>
        <v>1.5384615384615384E-2</v>
      </c>
      <c r="J77" s="85">
        <f>(D77-$C4)/$C4</f>
        <v>4.8916031040457355</v>
      </c>
    </row>
    <row r="78" spans="1:10" ht="13" thickBot="1">
      <c r="A78" s="78"/>
      <c r="B78" s="13"/>
      <c r="C78" s="22"/>
      <c r="D78" s="23"/>
      <c r="E78" s="23"/>
      <c r="F78" s="27"/>
      <c r="G78" s="30"/>
      <c r="H78" s="10"/>
      <c r="I78" s="24"/>
      <c r="J78" s="86"/>
    </row>
    <row r="79" spans="1:10" s="1" customFormat="1">
      <c r="A79" s="103">
        <v>16</v>
      </c>
      <c r="B79" s="15">
        <f>B77+7</f>
        <v>43303</v>
      </c>
      <c r="C79" s="20">
        <f>D77+G77-H77</f>
        <v>5891.6031040457356</v>
      </c>
      <c r="D79" s="17">
        <f>C79+(C79*0.03)</f>
        <v>6068.3511971671078</v>
      </c>
      <c r="E79" s="17">
        <f>C79/3250</f>
        <v>1.8128009550909956</v>
      </c>
      <c r="F79" s="28">
        <f>(D79-C79)/E79</f>
        <v>97.500000000000085</v>
      </c>
      <c r="G79" s="26"/>
      <c r="H79" s="33"/>
      <c r="I79" s="19">
        <f>E79*50/C79</f>
        <v>1.5384615384615385E-2</v>
      </c>
      <c r="J79" s="85">
        <f>(D79-$C4)/$C4</f>
        <v>5.0683511971671074</v>
      </c>
    </row>
    <row r="80" spans="1:10" s="1" customFormat="1">
      <c r="A80" s="104"/>
      <c r="B80" s="15">
        <f>B79+7</f>
        <v>43310</v>
      </c>
      <c r="C80" s="20">
        <f>D79+G79-H79</f>
        <v>6068.3511971671078</v>
      </c>
      <c r="D80" s="17">
        <f>C80+(C80*0.03)</f>
        <v>6250.4017330821207</v>
      </c>
      <c r="E80" s="17">
        <f>C80/3250</f>
        <v>1.8671849837437255</v>
      </c>
      <c r="F80" s="28">
        <f>(D80-C80)/E80</f>
        <v>97.499999999999829</v>
      </c>
      <c r="G80" s="26"/>
      <c r="H80" s="63"/>
      <c r="I80" s="19">
        <f>E80*50/C80</f>
        <v>1.5384615384615385E-2</v>
      </c>
      <c r="J80" s="85">
        <f>(D80-$C4)/$C4</f>
        <v>5.2504017330821204</v>
      </c>
    </row>
    <row r="81" spans="1:10" s="1" customFormat="1">
      <c r="A81" s="104"/>
      <c r="B81" s="15">
        <f>B80+7</f>
        <v>43317</v>
      </c>
      <c r="C81" s="20">
        <f>D80+G80-H80</f>
        <v>6250.4017330821207</v>
      </c>
      <c r="D81" s="17">
        <f>C81+(C81*0.03)</f>
        <v>6437.9137850745847</v>
      </c>
      <c r="E81" s="17">
        <f>C81/3250</f>
        <v>1.9232005332560371</v>
      </c>
      <c r="F81" s="28">
        <f>(D81-C81)/E81</f>
        <v>97.500000000000185</v>
      </c>
      <c r="G81" s="26"/>
      <c r="H81" s="33"/>
      <c r="I81" s="19">
        <f>E81*50/C81</f>
        <v>1.5384615384615384E-2</v>
      </c>
      <c r="J81" s="85">
        <f>(D81-$C4)/$C4</f>
        <v>5.4379137850745849</v>
      </c>
    </row>
    <row r="82" spans="1:10" s="1" customFormat="1" ht="13" thickBot="1">
      <c r="A82" s="105"/>
      <c r="B82" s="15">
        <f>B81+7</f>
        <v>43324</v>
      </c>
      <c r="C82" s="20">
        <f>D81+G81-H81</f>
        <v>6437.9137850745847</v>
      </c>
      <c r="D82" s="17">
        <f>C82+(C82*0.03)</f>
        <v>6631.051198626822</v>
      </c>
      <c r="E82" s="17">
        <f>C82/3250</f>
        <v>1.9808965492537183</v>
      </c>
      <c r="F82" s="28">
        <f>(D82-C82)/E82</f>
        <v>97.499999999999915</v>
      </c>
      <c r="G82" s="26"/>
      <c r="H82" s="33"/>
      <c r="I82" s="19">
        <f>E82*50/C82</f>
        <v>1.5384615384615384E-2</v>
      </c>
      <c r="J82" s="85">
        <f>(D82-$C4)/$C4</f>
        <v>5.6310511986268219</v>
      </c>
    </row>
    <row r="83" spans="1:10" ht="13" thickBot="1">
      <c r="A83" s="78"/>
      <c r="B83" s="13"/>
      <c r="C83" s="22"/>
      <c r="D83" s="23"/>
      <c r="E83" s="23"/>
      <c r="F83" s="27"/>
      <c r="G83" s="30"/>
      <c r="H83" s="10"/>
      <c r="I83" s="24"/>
      <c r="J83" s="86"/>
    </row>
    <row r="84" spans="1:10" s="1" customFormat="1">
      <c r="A84" s="103">
        <v>17</v>
      </c>
      <c r="B84" s="15">
        <f>B82+7</f>
        <v>43331</v>
      </c>
      <c r="C84" s="20">
        <f>D82+G82-H82</f>
        <v>6631.051198626822</v>
      </c>
      <c r="D84" s="17">
        <f>C84+(C84*0.03)</f>
        <v>6829.9827345856265</v>
      </c>
      <c r="E84" s="17">
        <f>C84/3250</f>
        <v>2.04032344573133</v>
      </c>
      <c r="F84" s="28">
        <f>(D84-C84)/E84</f>
        <v>97.499999999999915</v>
      </c>
      <c r="G84" s="26"/>
      <c r="H84" s="33"/>
      <c r="I84" s="19">
        <f>E84*50/C84</f>
        <v>1.5384615384615385E-2</v>
      </c>
      <c r="J84" s="85">
        <f>(D84-$C4)/$C4</f>
        <v>5.8299827345856263</v>
      </c>
    </row>
    <row r="85" spans="1:10" s="1" customFormat="1">
      <c r="A85" s="104"/>
      <c r="B85" s="15">
        <f>B84+7</f>
        <v>43338</v>
      </c>
      <c r="C85" s="20">
        <f>D84+G84-H84</f>
        <v>6829.9827345856265</v>
      </c>
      <c r="D85" s="17">
        <f>C85+(C85*0.03)</f>
        <v>7034.8822166231957</v>
      </c>
      <c r="E85" s="17">
        <f>C85/3250</f>
        <v>2.1015331491032696</v>
      </c>
      <c r="F85" s="28">
        <f>(D85-C85)/E85</f>
        <v>97.500000000000199</v>
      </c>
      <c r="G85" s="26"/>
      <c r="H85" s="33"/>
      <c r="I85" s="19">
        <f>E85*50/C85</f>
        <v>1.5384615384615384E-2</v>
      </c>
      <c r="J85" s="85">
        <f>(D85-$C4)/$C4</f>
        <v>6.0348822166231955</v>
      </c>
    </row>
    <row r="86" spans="1:10" s="1" customFormat="1">
      <c r="A86" s="104"/>
      <c r="B86" s="15">
        <f>B85+7</f>
        <v>43345</v>
      </c>
      <c r="C86" s="20">
        <f>D85+G85-H85</f>
        <v>7034.8822166231957</v>
      </c>
      <c r="D86" s="17">
        <f>C86+(C86*0.03)</f>
        <v>7245.9286831218915</v>
      </c>
      <c r="E86" s="17">
        <f>C86/3250</f>
        <v>2.1645791435763679</v>
      </c>
      <c r="F86" s="28">
        <f>(D86-C86)/E86</f>
        <v>97.499999999999943</v>
      </c>
      <c r="G86" s="26"/>
      <c r="H86" s="33"/>
      <c r="I86" s="19">
        <f>E86*50/C86</f>
        <v>1.5384615384615384E-2</v>
      </c>
      <c r="J86" s="85">
        <f>(D86-$C4)/$C4</f>
        <v>6.2459286831218916</v>
      </c>
    </row>
    <row r="87" spans="1:10" s="1" customFormat="1" ht="13" thickBot="1">
      <c r="A87" s="105"/>
      <c r="B87" s="15">
        <f>B86+7</f>
        <v>43352</v>
      </c>
      <c r="C87" s="20">
        <f>D86+G86-H86</f>
        <v>7245.9286831218915</v>
      </c>
      <c r="D87" s="17">
        <f>C87+(C87*0.03)</f>
        <v>7463.3065436155484</v>
      </c>
      <c r="E87" s="17">
        <f>C87/3250</f>
        <v>2.2295165178836589</v>
      </c>
      <c r="F87" s="28">
        <f>(D87-C87)/E87</f>
        <v>97.500000000000099</v>
      </c>
      <c r="G87" s="26"/>
      <c r="H87" s="33"/>
      <c r="I87" s="19">
        <f>E87*50/C87</f>
        <v>1.5384615384615385E-2</v>
      </c>
      <c r="J87" s="85">
        <f>(D87-$C4)/$C4</f>
        <v>6.4633065436155483</v>
      </c>
    </row>
    <row r="88" spans="1:10" ht="13" thickBot="1">
      <c r="A88" s="78"/>
      <c r="B88" s="13"/>
      <c r="C88" s="22"/>
      <c r="D88" s="23"/>
      <c r="E88" s="23"/>
      <c r="F88" s="27"/>
      <c r="G88" s="30"/>
      <c r="H88" s="10"/>
      <c r="I88" s="24"/>
      <c r="J88" s="86"/>
    </row>
    <row r="89" spans="1:10" s="1" customFormat="1">
      <c r="A89" s="103">
        <v>18</v>
      </c>
      <c r="B89" s="15">
        <f>B87+7</f>
        <v>43359</v>
      </c>
      <c r="C89" s="20">
        <f>D87+G87-H87</f>
        <v>7463.3065436155484</v>
      </c>
      <c r="D89" s="17">
        <f>C89+(C89*0.03)</f>
        <v>7687.2057399240148</v>
      </c>
      <c r="E89" s="17">
        <f>C89/3250</f>
        <v>2.2964020134201686</v>
      </c>
      <c r="F89" s="28">
        <f>(D89-C89)/E89</f>
        <v>97.499999999999957</v>
      </c>
      <c r="G89" s="26"/>
      <c r="H89" s="33"/>
      <c r="I89" s="19">
        <f>E89*50/C89</f>
        <v>1.5384615384615384E-2</v>
      </c>
      <c r="J89" s="85">
        <f>(D89-$C4)/$C4</f>
        <v>6.687205739924015</v>
      </c>
    </row>
    <row r="90" spans="1:10" s="1" customFormat="1">
      <c r="A90" s="104"/>
      <c r="B90" s="15">
        <f>B89+7</f>
        <v>43366</v>
      </c>
      <c r="C90" s="20">
        <f>D89+G89-H89</f>
        <v>7687.2057399240148</v>
      </c>
      <c r="D90" s="17">
        <f>C90+(C90*0.03)</f>
        <v>7917.8219121217353</v>
      </c>
      <c r="E90" s="17">
        <f>C90/3250</f>
        <v>2.3652940738227737</v>
      </c>
      <c r="F90" s="28">
        <f>(D90-C90)/E90</f>
        <v>97.500000000000028</v>
      </c>
      <c r="G90" s="26"/>
      <c r="H90" s="33"/>
      <c r="I90" s="19">
        <f>E90*50/C90</f>
        <v>1.5384615384615384E-2</v>
      </c>
      <c r="J90" s="85">
        <f>(D90-$C4)/$C4</f>
        <v>6.9178219121217355</v>
      </c>
    </row>
    <row r="91" spans="1:10" s="1" customFormat="1">
      <c r="A91" s="104"/>
      <c r="B91" s="15">
        <f>B90+7</f>
        <v>43373</v>
      </c>
      <c r="C91" s="20">
        <f>D90+G90-H90</f>
        <v>7917.8219121217353</v>
      </c>
      <c r="D91" s="17">
        <f>C91+(C91*0.03)</f>
        <v>8155.3565694853878</v>
      </c>
      <c r="E91" s="17">
        <f>C91/3250</f>
        <v>2.4362528960374572</v>
      </c>
      <c r="F91" s="28">
        <f>(D91-C91)/E91</f>
        <v>97.500000000000185</v>
      </c>
      <c r="G91" s="26"/>
      <c r="H91" s="33"/>
      <c r="I91" s="19">
        <f>E91*50/C91</f>
        <v>1.5384615384615385E-2</v>
      </c>
      <c r="J91" s="85">
        <f>(D91-$C4)/$C4</f>
        <v>7.155356569485388</v>
      </c>
    </row>
    <row r="92" spans="1:10" s="1" customFormat="1" ht="13" thickBot="1">
      <c r="A92" s="105"/>
      <c r="B92" s="15">
        <f>B91+7</f>
        <v>43380</v>
      </c>
      <c r="C92" s="20">
        <f>D91+G91-H91</f>
        <v>8155.3565694853878</v>
      </c>
      <c r="D92" s="17">
        <f>C92+(C92*0.03)</f>
        <v>8400.0172665699502</v>
      </c>
      <c r="E92" s="17">
        <f>C92/3250</f>
        <v>2.509340482918581</v>
      </c>
      <c r="F92" s="28">
        <f>(D92-C92)/E92</f>
        <v>97.50000000000027</v>
      </c>
      <c r="G92" s="26"/>
      <c r="H92" s="33"/>
      <c r="I92" s="19">
        <f>E92*50/C92</f>
        <v>1.5384615384615385E-2</v>
      </c>
      <c r="J92" s="85">
        <f>(D92-$C4)/$C4</f>
        <v>7.4000172665699502</v>
      </c>
    </row>
    <row r="93" spans="1:10" ht="13" thickBot="1">
      <c r="A93" s="78"/>
      <c r="B93" s="13"/>
      <c r="C93" s="22"/>
      <c r="D93" s="23"/>
      <c r="E93" s="23"/>
      <c r="F93" s="27"/>
      <c r="G93" s="30"/>
      <c r="H93" s="10"/>
      <c r="I93" s="24"/>
      <c r="J93" s="86"/>
    </row>
    <row r="94" spans="1:10" s="1" customFormat="1">
      <c r="A94" s="103">
        <v>19</v>
      </c>
      <c r="B94" s="15">
        <f>B92+7</f>
        <v>43387</v>
      </c>
      <c r="C94" s="20">
        <f>D92+G92-H92</f>
        <v>8400.0172665699502</v>
      </c>
      <c r="D94" s="17">
        <f>C94+(C94*0.03)</f>
        <v>8652.0177845670478</v>
      </c>
      <c r="E94" s="17">
        <f>C94/3250</f>
        <v>2.5846206974061383</v>
      </c>
      <c r="F94" s="28">
        <f>(D94-C94)/E94</f>
        <v>97.499999999999673</v>
      </c>
      <c r="G94" s="26"/>
      <c r="H94" s="33"/>
      <c r="I94" s="19">
        <f>E94*50/C94</f>
        <v>1.5384615384615385E-2</v>
      </c>
      <c r="J94" s="85">
        <f>(D94-$C4)/$C4</f>
        <v>7.6520177845670476</v>
      </c>
    </row>
    <row r="95" spans="1:10" s="1" customFormat="1">
      <c r="A95" s="104"/>
      <c r="B95" s="15">
        <f>B94+7</f>
        <v>43394</v>
      </c>
      <c r="C95" s="20">
        <f>D94+G94-H94</f>
        <v>8652.0177845670478</v>
      </c>
      <c r="D95" s="17">
        <f>C95+(C95*0.03)</f>
        <v>8911.5783181040588</v>
      </c>
      <c r="E95" s="17">
        <f>C95/3250</f>
        <v>2.6621593183283223</v>
      </c>
      <c r="F95" s="28">
        <f>(D95-C95)/E95</f>
        <v>97.499999999999844</v>
      </c>
      <c r="G95" s="26"/>
      <c r="H95" s="33"/>
      <c r="I95" s="19">
        <f>E95*50/C95</f>
        <v>1.5384615384615384E-2</v>
      </c>
      <c r="J95" s="85">
        <f>(D95-$C4)/$C4</f>
        <v>7.9115783181040591</v>
      </c>
    </row>
    <row r="96" spans="1:10" s="1" customFormat="1">
      <c r="A96" s="104"/>
      <c r="B96" s="15">
        <f>B95+7</f>
        <v>43401</v>
      </c>
      <c r="C96" s="20">
        <f>D95+G95-H95</f>
        <v>8911.5783181040588</v>
      </c>
      <c r="D96" s="17">
        <f>C96+(C96*0.03)</f>
        <v>9178.9256676471814</v>
      </c>
      <c r="E96" s="17">
        <f>C96/3250</f>
        <v>2.742024097878172</v>
      </c>
      <c r="F96" s="28">
        <f>(D96-C96)/E96</f>
        <v>97.500000000000313</v>
      </c>
      <c r="G96" s="26"/>
      <c r="H96" s="33"/>
      <c r="I96" s="19">
        <f>E96*50/C96</f>
        <v>1.5384615384615385E-2</v>
      </c>
      <c r="J96" s="85">
        <f>(D96-$C4)/$C4</f>
        <v>8.1789256676471815</v>
      </c>
    </row>
    <row r="97" spans="1:10" s="1" customFormat="1" ht="13" thickBot="1">
      <c r="A97" s="105"/>
      <c r="B97" s="15">
        <f>B96+7</f>
        <v>43408</v>
      </c>
      <c r="C97" s="20">
        <f>D96+G96-H96</f>
        <v>9178.9256676471814</v>
      </c>
      <c r="D97" s="17">
        <f>C97+(C97*0.03)</f>
        <v>9454.293437676597</v>
      </c>
      <c r="E97" s="17">
        <f>C97/3250</f>
        <v>2.8242848208145173</v>
      </c>
      <c r="F97" s="28">
        <f>(D97-C97)/E97</f>
        <v>97.500000000000071</v>
      </c>
      <c r="G97" s="26"/>
      <c r="H97" s="33"/>
      <c r="I97" s="19">
        <f>E97*50/C97</f>
        <v>1.5384615384615384E-2</v>
      </c>
      <c r="J97" s="85">
        <f>(D97-$C4)/$C4</f>
        <v>8.454293437676597</v>
      </c>
    </row>
    <row r="98" spans="1:10" ht="13" thickBot="1">
      <c r="A98" s="78"/>
      <c r="B98" s="13"/>
      <c r="C98" s="22"/>
      <c r="D98" s="23"/>
      <c r="E98" s="23"/>
      <c r="F98" s="27"/>
      <c r="G98" s="30"/>
      <c r="H98" s="10"/>
      <c r="I98" s="24"/>
      <c r="J98" s="86"/>
    </row>
    <row r="99" spans="1:10" s="1" customFormat="1">
      <c r="A99" s="103">
        <v>20</v>
      </c>
      <c r="B99" s="15">
        <f>B97+7</f>
        <v>43415</v>
      </c>
      <c r="C99" s="20">
        <f>D97+G97-H97</f>
        <v>9454.293437676597</v>
      </c>
      <c r="D99" s="17">
        <f>C99+(C99*0.03)</f>
        <v>9737.9222408068945</v>
      </c>
      <c r="E99" s="17">
        <f>C99/3250</f>
        <v>2.9090133654389527</v>
      </c>
      <c r="F99" s="28">
        <f>(D99-C99)/E99</f>
        <v>97.499999999999844</v>
      </c>
      <c r="G99" s="26"/>
      <c r="H99" s="33"/>
      <c r="I99" s="19">
        <f>E99*50/C99</f>
        <v>1.5384615384615385E-2</v>
      </c>
      <c r="J99" s="85">
        <f>(D99-$C4)/$C4</f>
        <v>8.7379222408068937</v>
      </c>
    </row>
    <row r="100" spans="1:10" s="1" customFormat="1">
      <c r="A100" s="104"/>
      <c r="B100" s="15">
        <f>B99+7</f>
        <v>43422</v>
      </c>
      <c r="C100" s="20">
        <f>D99+G99-H99</f>
        <v>9737.9222408068945</v>
      </c>
      <c r="D100" s="17">
        <f>C100+(C100*0.03)</f>
        <v>10030.059908031102</v>
      </c>
      <c r="E100" s="17">
        <f>C100/3250</f>
        <v>2.9962837664021214</v>
      </c>
      <c r="F100" s="28">
        <f>(D100-C100)/E100</f>
        <v>97.500000000000284</v>
      </c>
      <c r="G100" s="26"/>
      <c r="H100" s="33"/>
      <c r="I100" s="19">
        <f>E100*50/C100</f>
        <v>1.5384615384615385E-2</v>
      </c>
      <c r="J100" s="85">
        <f>(D100-$C4)/$C4</f>
        <v>9.0300599080311024</v>
      </c>
    </row>
    <row r="101" spans="1:10" s="1" customFormat="1">
      <c r="A101" s="104"/>
      <c r="B101" s="15">
        <f>B100+7</f>
        <v>43429</v>
      </c>
      <c r="C101" s="20">
        <f>D100+G100-H100</f>
        <v>10030.059908031102</v>
      </c>
      <c r="D101" s="17">
        <f>C101+(C101*0.03)</f>
        <v>10330.961705272035</v>
      </c>
      <c r="E101" s="17">
        <f>C101/3250</f>
        <v>3.0861722793941855</v>
      </c>
      <c r="F101" s="28">
        <f>(D101-C101)/E101</f>
        <v>97.499999999999929</v>
      </c>
      <c r="G101" s="26"/>
      <c r="H101" s="33"/>
      <c r="I101" s="19">
        <f>E101*50/C101</f>
        <v>1.5384615384615387E-2</v>
      </c>
      <c r="J101" s="85">
        <f>(D101-$C4)/$C4</f>
        <v>9.3309617052720348</v>
      </c>
    </row>
    <row r="102" spans="1:10" s="1" customFormat="1" ht="13" thickBot="1">
      <c r="A102" s="105"/>
      <c r="B102" s="15">
        <f>B101+7</f>
        <v>43436</v>
      </c>
      <c r="C102" s="20">
        <f>D101+G101-H101</f>
        <v>10330.961705272035</v>
      </c>
      <c r="D102" s="17">
        <f>C102+(C102*0.03)</f>
        <v>10640.890556430197</v>
      </c>
      <c r="E102" s="17">
        <f>C102/3250</f>
        <v>3.178757447776011</v>
      </c>
      <c r="F102" s="28">
        <f>(D102-C102)/E102</f>
        <v>97.500000000000199</v>
      </c>
      <c r="G102" s="26"/>
      <c r="H102" s="33"/>
      <c r="I102" s="19">
        <f>E102*50/C102</f>
        <v>1.5384615384615385E-2</v>
      </c>
      <c r="J102" s="85">
        <f>(D102-$C4)/$C4</f>
        <v>9.6408905564301968</v>
      </c>
    </row>
    <row r="103" spans="1:10" ht="13" thickBot="1">
      <c r="A103" s="78"/>
      <c r="B103" s="13"/>
      <c r="C103" s="22"/>
      <c r="D103" s="23"/>
      <c r="E103" s="23"/>
      <c r="F103" s="27"/>
      <c r="G103" s="30"/>
      <c r="H103" s="10"/>
      <c r="I103" s="24"/>
      <c r="J103" s="86"/>
    </row>
    <row r="104" spans="1:10" s="1" customFormat="1">
      <c r="A104" s="103">
        <v>21</v>
      </c>
      <c r="B104" s="15">
        <f>B102+7</f>
        <v>43443</v>
      </c>
      <c r="C104" s="20">
        <f>D102+G102-H102</f>
        <v>10640.890556430197</v>
      </c>
      <c r="D104" s="17">
        <f>C104+(C104*0.03)</f>
        <v>10960.117273123102</v>
      </c>
      <c r="E104" s="17">
        <f>C104/3250</f>
        <v>3.2741201712092911</v>
      </c>
      <c r="F104" s="28">
        <f>(D104-C104)/E104</f>
        <v>97.499999999999744</v>
      </c>
      <c r="G104" s="26"/>
      <c r="H104" s="33"/>
      <c r="I104" s="19">
        <f>E104*50/C104</f>
        <v>1.5384615384615385E-2</v>
      </c>
      <c r="J104" s="85">
        <f>(D104-$C4)/$C4</f>
        <v>9.9601172731231014</v>
      </c>
    </row>
    <row r="105" spans="1:10" s="1" customFormat="1">
      <c r="A105" s="104"/>
      <c r="B105" s="15">
        <f>B104+7</f>
        <v>43450</v>
      </c>
      <c r="C105" s="20">
        <f>D104+G104-H104</f>
        <v>10960.117273123102</v>
      </c>
      <c r="D105" s="17">
        <f>C105+(C105*0.03)</f>
        <v>11288.920791316796</v>
      </c>
      <c r="E105" s="17">
        <f>C105/3250</f>
        <v>3.3723437763455699</v>
      </c>
      <c r="F105" s="28">
        <f>(D105-C105)/E105</f>
        <v>97.500000000000242</v>
      </c>
      <c r="G105" s="26"/>
      <c r="H105" s="33"/>
      <c r="I105" s="19">
        <f>E105*50/C105</f>
        <v>1.5384615384615385E-2</v>
      </c>
      <c r="J105" s="85">
        <f>(D105-$C4)/$C4</f>
        <v>10.288920791316796</v>
      </c>
    </row>
    <row r="106" spans="1:10" s="1" customFormat="1">
      <c r="A106" s="104"/>
      <c r="B106" s="15">
        <f>B105+7</f>
        <v>43457</v>
      </c>
      <c r="C106" s="20">
        <f>D105+G105-H105</f>
        <v>11288.920791316796</v>
      </c>
      <c r="D106" s="17">
        <f>C106+(C106*0.03)</f>
        <v>11627.5884150563</v>
      </c>
      <c r="E106" s="17">
        <f>C106/3250</f>
        <v>3.4735140896359371</v>
      </c>
      <c r="F106" s="28">
        <f>(D106-C106)/E106</f>
        <v>97.500000000000057</v>
      </c>
      <c r="G106" s="26"/>
      <c r="H106" s="33"/>
      <c r="I106" s="19">
        <f>E106*50/C106</f>
        <v>1.5384615384615385E-2</v>
      </c>
      <c r="J106" s="85">
        <f>(D106-$C4)/$C4</f>
        <v>10.6275884150563</v>
      </c>
    </row>
    <row r="107" spans="1:10" s="1" customFormat="1" ht="13" thickBot="1">
      <c r="A107" s="105"/>
      <c r="B107" s="15">
        <f>B106+7</f>
        <v>43464</v>
      </c>
      <c r="C107" s="20">
        <f>D106+G106-H106</f>
        <v>11627.5884150563</v>
      </c>
      <c r="D107" s="17">
        <f>C107+(C107*0.03)</f>
        <v>11976.416067507989</v>
      </c>
      <c r="E107" s="17">
        <f>C107/3250</f>
        <v>3.5777195123250154</v>
      </c>
      <c r="F107" s="28">
        <f>(D107-C107)/E107</f>
        <v>97.500000000000156</v>
      </c>
      <c r="G107" s="26"/>
      <c r="H107" s="33"/>
      <c r="I107" s="19">
        <f>E107*50/C107</f>
        <v>1.5384615384615384E-2</v>
      </c>
      <c r="J107" s="85">
        <f>(D107-$C4)/$C4</f>
        <v>10.976416067507989</v>
      </c>
    </row>
    <row r="108" spans="1:10" ht="13" thickBot="1">
      <c r="A108" s="78"/>
      <c r="B108" s="13"/>
      <c r="C108" s="22"/>
      <c r="D108" s="23"/>
      <c r="E108" s="23"/>
      <c r="F108" s="27"/>
      <c r="G108" s="30"/>
      <c r="H108" s="10"/>
      <c r="I108" s="24"/>
      <c r="J108" s="86"/>
    </row>
    <row r="109" spans="1:10" s="1" customFormat="1">
      <c r="A109" s="103">
        <v>22</v>
      </c>
      <c r="B109" s="15">
        <f>B107+7</f>
        <v>43471</v>
      </c>
      <c r="C109" s="20">
        <f>D107+G107-H107</f>
        <v>11976.416067507989</v>
      </c>
      <c r="D109" s="17">
        <f>C109+(C109*0.03)</f>
        <v>12335.708549533229</v>
      </c>
      <c r="E109" s="17">
        <f>C109/3250</f>
        <v>3.6850510976947661</v>
      </c>
      <c r="F109" s="28">
        <f>(D109-C109)/E109</f>
        <v>97.499999999999872</v>
      </c>
      <c r="G109" s="26"/>
      <c r="H109" s="33"/>
      <c r="I109" s="19">
        <f>E109*50/C109</f>
        <v>1.5384615384615385E-2</v>
      </c>
      <c r="J109" s="85">
        <f>(D109-$C4)/$C4</f>
        <v>11.335708549533228</v>
      </c>
    </row>
    <row r="110" spans="1:10">
      <c r="A110" s="104"/>
      <c r="B110" s="15">
        <f>B109+7</f>
        <v>43478</v>
      </c>
      <c r="C110" s="20">
        <f>D109+G109-H109</f>
        <v>12335.708549533229</v>
      </c>
      <c r="D110" s="17">
        <f>C110+(C110*0.03)</f>
        <v>12705.779806019225</v>
      </c>
      <c r="E110" s="17">
        <f>C110/3250</f>
        <v>3.7956026306256088</v>
      </c>
      <c r="F110" s="28">
        <f>(D110-C110)/E110</f>
        <v>97.5</v>
      </c>
      <c r="G110" s="26"/>
      <c r="H110" s="33"/>
      <c r="I110" s="19">
        <f>E110*50/C110</f>
        <v>1.5384615384615384E-2</v>
      </c>
      <c r="J110" s="85">
        <f>(D110-$C4)/$C4</f>
        <v>11.705779806019226</v>
      </c>
    </row>
    <row r="111" spans="1:10">
      <c r="A111" s="104"/>
      <c r="B111" s="15">
        <f>B110+7</f>
        <v>43485</v>
      </c>
      <c r="C111" s="20">
        <f>D110+G110-H110</f>
        <v>12705.779806019225</v>
      </c>
      <c r="D111" s="17">
        <f>C111+(C111*0.03)</f>
        <v>13086.953200199801</v>
      </c>
      <c r="E111" s="17">
        <f>C111/3250</f>
        <v>3.9094707095443773</v>
      </c>
      <c r="F111" s="28">
        <f>(D111-C111)/E111</f>
        <v>97.499999999999801</v>
      </c>
      <c r="G111" s="26"/>
      <c r="H111" s="33"/>
      <c r="I111" s="19">
        <f>E111*50/C111</f>
        <v>1.5384615384615385E-2</v>
      </c>
      <c r="J111" s="85">
        <f>(D111-$C4)/$C4</f>
        <v>12.086953200199801</v>
      </c>
    </row>
    <row r="112" spans="1:10" ht="13" thickBot="1">
      <c r="A112" s="105"/>
      <c r="B112" s="15">
        <f>B111+7</f>
        <v>43492</v>
      </c>
      <c r="C112" s="20">
        <f>D111+G111-H111</f>
        <v>13086.953200199801</v>
      </c>
      <c r="D112" s="17">
        <f>C112+(C112*0.03)</f>
        <v>13479.561796205795</v>
      </c>
      <c r="E112" s="17">
        <f>C112/3250</f>
        <v>4.0267548308307077</v>
      </c>
      <c r="F112" s="28">
        <f>(D112-C112)/E112</f>
        <v>97.499999999999901</v>
      </c>
      <c r="G112" s="26"/>
      <c r="H112" s="33"/>
      <c r="I112" s="19">
        <f>E112*50/C112</f>
        <v>1.5384615384615384E-2</v>
      </c>
      <c r="J112" s="85">
        <f>(D112-$C4)/$C4</f>
        <v>12.479561796205795</v>
      </c>
    </row>
    <row r="113" spans="1:10" ht="13" thickBot="1">
      <c r="A113" s="78"/>
      <c r="B113" s="13"/>
      <c r="C113" s="22"/>
      <c r="D113" s="23"/>
      <c r="E113" s="23"/>
      <c r="F113" s="27"/>
      <c r="G113" s="30"/>
      <c r="H113" s="10"/>
      <c r="I113" s="24"/>
      <c r="J113" s="86"/>
    </row>
    <row r="114" spans="1:10">
      <c r="A114" s="103">
        <v>23</v>
      </c>
      <c r="B114" s="15">
        <f>B112+7</f>
        <v>43499</v>
      </c>
      <c r="C114" s="20">
        <f>D112+G112-H112</f>
        <v>13479.561796205795</v>
      </c>
      <c r="D114" s="17">
        <f>C114+(C114*0.03)</f>
        <v>13883.948650091968</v>
      </c>
      <c r="E114" s="17">
        <f>C114/3250</f>
        <v>4.1475574757556295</v>
      </c>
      <c r="F114" s="28">
        <f>(D114-C114)/E114</f>
        <v>97.499999999999886</v>
      </c>
      <c r="G114" s="26"/>
      <c r="H114" s="33"/>
      <c r="I114" s="19">
        <f>E114*50/C114</f>
        <v>1.5384615384615385E-2</v>
      </c>
      <c r="J114" s="85">
        <f>(D114-$C4)/$C4</f>
        <v>12.883948650091968</v>
      </c>
    </row>
    <row r="115" spans="1:10">
      <c r="A115" s="104"/>
      <c r="B115" s="15">
        <f>B114+7</f>
        <v>43506</v>
      </c>
      <c r="C115" s="20">
        <f>D114+G114-H114</f>
        <v>13883.948650091968</v>
      </c>
      <c r="D115" s="17">
        <f>C115+(C115*0.03)</f>
        <v>14300.467109594727</v>
      </c>
      <c r="E115" s="17">
        <f>C115/3250</f>
        <v>4.2719842000282977</v>
      </c>
      <c r="F115" s="28">
        <f>(D115-C115)/E115</f>
        <v>97.499999999999886</v>
      </c>
      <c r="G115" s="26"/>
      <c r="H115" s="33"/>
      <c r="I115" s="19">
        <f>E115*50/C115</f>
        <v>1.5384615384615384E-2</v>
      </c>
      <c r="J115" s="85">
        <f>(D115-$C4)/$C4</f>
        <v>13.300467109594727</v>
      </c>
    </row>
    <row r="116" spans="1:10">
      <c r="A116" s="104"/>
      <c r="B116" s="15">
        <f>B115+7</f>
        <v>43513</v>
      </c>
      <c r="C116" s="20">
        <f>D115+G115-H115</f>
        <v>14300.467109594727</v>
      </c>
      <c r="D116" s="17">
        <f>C116+(C116*0.03)</f>
        <v>14729.481122882569</v>
      </c>
      <c r="E116" s="17">
        <f>C116/3250</f>
        <v>4.4001437260291469</v>
      </c>
      <c r="F116" s="28">
        <f>(D116-C116)/E116</f>
        <v>97.500000000000114</v>
      </c>
      <c r="G116" s="26"/>
      <c r="H116" s="33"/>
      <c r="I116" s="19">
        <f>E116*50/C116</f>
        <v>1.5384615384615385E-2</v>
      </c>
      <c r="J116" s="85">
        <f>(D116-$C4)/$C4</f>
        <v>13.72948112288257</v>
      </c>
    </row>
    <row r="117" spans="1:10" ht="13" thickBot="1">
      <c r="A117" s="105"/>
      <c r="B117" s="15">
        <f>B116+7</f>
        <v>43520</v>
      </c>
      <c r="C117" s="20">
        <f>D116+G116-H116</f>
        <v>14729.481122882569</v>
      </c>
      <c r="D117" s="17">
        <f>C117+(C117*0.03)</f>
        <v>15171.365556569046</v>
      </c>
      <c r="E117" s="17">
        <f>C117/3250</f>
        <v>4.5321480378100212</v>
      </c>
      <c r="F117" s="28">
        <f>(D117-C117)/E117</f>
        <v>97.499999999999929</v>
      </c>
      <c r="G117" s="26"/>
      <c r="H117" s="33"/>
      <c r="I117" s="19">
        <f>E117*50/C117</f>
        <v>1.5384615384615384E-2</v>
      </c>
      <c r="J117" s="85">
        <f>(D117-$C4)/$C4</f>
        <v>14.171365556569047</v>
      </c>
    </row>
    <row r="118" spans="1:10" ht="13" thickBot="1">
      <c r="A118" s="78"/>
      <c r="B118" s="13"/>
      <c r="C118" s="22"/>
      <c r="D118" s="23"/>
      <c r="E118" s="23"/>
      <c r="F118" s="27"/>
      <c r="G118" s="30"/>
      <c r="H118" s="10"/>
      <c r="I118" s="24"/>
      <c r="J118" s="86"/>
    </row>
    <row r="119" spans="1:10">
      <c r="A119" s="103">
        <v>24</v>
      </c>
      <c r="B119" s="15">
        <f>B117+7</f>
        <v>43527</v>
      </c>
      <c r="C119" s="20">
        <f>D117+G117-H117</f>
        <v>15171.365556569046</v>
      </c>
      <c r="D119" s="17">
        <f>C119+(C119*0.03)</f>
        <v>15626.506523266118</v>
      </c>
      <c r="E119" s="17">
        <f>C119/3250</f>
        <v>4.6681124789443222</v>
      </c>
      <c r="F119" s="28">
        <f>(D119-C119)/E119</f>
        <v>97.500000000000156</v>
      </c>
      <c r="G119" s="26"/>
      <c r="H119" s="33"/>
      <c r="I119" s="19">
        <f>E119*50/C119</f>
        <v>1.5384615384615385E-2</v>
      </c>
      <c r="J119" s="85">
        <f>(D119-$C4)/$C4</f>
        <v>14.626506523266118</v>
      </c>
    </row>
    <row r="120" spans="1:10">
      <c r="A120" s="104"/>
      <c r="B120" s="15">
        <f>B119+7</f>
        <v>43534</v>
      </c>
      <c r="C120" s="20">
        <f>D119+G119-H119</f>
        <v>15626.506523266118</v>
      </c>
      <c r="D120" s="17">
        <f>C120+(C120*0.03)</f>
        <v>16095.301718964101</v>
      </c>
      <c r="E120" s="17">
        <f>C120/3250</f>
        <v>4.8081558533126518</v>
      </c>
      <c r="F120" s="28">
        <f>(D120-C120)/E120</f>
        <v>97.499999999999929</v>
      </c>
      <c r="G120" s="26"/>
      <c r="H120" s="33"/>
      <c r="I120" s="19">
        <f>E120*50/C120</f>
        <v>1.5384615384615385E-2</v>
      </c>
      <c r="J120" s="85">
        <f>(D120-$C4)/$C4</f>
        <v>15.095301718964102</v>
      </c>
    </row>
    <row r="121" spans="1:10">
      <c r="A121" s="104"/>
      <c r="B121" s="15">
        <f>B120+7</f>
        <v>43541</v>
      </c>
      <c r="C121" s="20">
        <f>D120+G120-H120</f>
        <v>16095.301718964101</v>
      </c>
      <c r="D121" s="17">
        <f>C121+(C121*0.03)</f>
        <v>16578.160770533024</v>
      </c>
      <c r="E121" s="17">
        <f>C121/3250</f>
        <v>4.9524005289120314</v>
      </c>
      <c r="F121" s="28">
        <f>(D121-C121)/E121</f>
        <v>97.499999999999972</v>
      </c>
      <c r="G121" s="26"/>
      <c r="H121" s="33"/>
      <c r="I121" s="19">
        <f>E121*50/C121</f>
        <v>1.5384615384615385E-2</v>
      </c>
      <c r="J121" s="85">
        <f>(D121-$C4)/$C4</f>
        <v>15.578160770533025</v>
      </c>
    </row>
    <row r="122" spans="1:10" ht="13" thickBot="1">
      <c r="A122" s="105"/>
      <c r="B122" s="15">
        <f>B121+7</f>
        <v>43548</v>
      </c>
      <c r="C122" s="20">
        <f>D121+G121-H121</f>
        <v>16578.160770533024</v>
      </c>
      <c r="D122" s="17">
        <f>C122+(C122*0.03)</f>
        <v>17075.505593649013</v>
      </c>
      <c r="E122" s="17">
        <f>C122/3250</f>
        <v>5.1009725447793919</v>
      </c>
      <c r="F122" s="28">
        <f>(D122-C122)/E122</f>
        <v>97.499999999999687</v>
      </c>
      <c r="G122" s="26"/>
      <c r="H122" s="33"/>
      <c r="I122" s="19">
        <f>E122*50/C122</f>
        <v>1.5384615384615384E-2</v>
      </c>
      <c r="J122" s="85">
        <f>(D122-$C4)/$C4</f>
        <v>16.075505593649012</v>
      </c>
    </row>
    <row r="123" spans="1:10" ht="13" thickBot="1">
      <c r="A123" s="78"/>
      <c r="B123" s="13"/>
      <c r="C123" s="22"/>
      <c r="D123" s="23"/>
      <c r="E123" s="23"/>
      <c r="F123" s="27"/>
      <c r="G123" s="30"/>
      <c r="H123" s="10"/>
      <c r="I123" s="24"/>
      <c r="J123" s="86"/>
    </row>
    <row r="124" spans="1:10">
      <c r="A124" s="103">
        <v>25</v>
      </c>
      <c r="B124" s="15">
        <f>B122+7</f>
        <v>43555</v>
      </c>
      <c r="C124" s="20">
        <f>D122+G122-H122</f>
        <v>17075.505593649013</v>
      </c>
      <c r="D124" s="17">
        <f>C124+(C124*0.03)</f>
        <v>17587.770761458483</v>
      </c>
      <c r="E124" s="17">
        <f>C124/3250</f>
        <v>5.2540017211227736</v>
      </c>
      <c r="F124" s="28">
        <f>(D124-C124)/E124</f>
        <v>97.499999999999886</v>
      </c>
      <c r="G124" s="26"/>
      <c r="H124" s="33"/>
      <c r="I124" s="19">
        <f>E124*50/C124</f>
        <v>1.5384615384615385E-2</v>
      </c>
      <c r="J124" s="85">
        <f>(D124-$C4)/$C4</f>
        <v>16.587770761458483</v>
      </c>
    </row>
    <row r="125" spans="1:10">
      <c r="A125" s="104"/>
      <c r="B125" s="15">
        <f>B124+7</f>
        <v>43562</v>
      </c>
      <c r="C125" s="20">
        <f>D124+G124-H124</f>
        <v>17587.770761458483</v>
      </c>
      <c r="D125" s="17">
        <f>C125+(C125*0.03)</f>
        <v>18115.403884302239</v>
      </c>
      <c r="E125" s="17">
        <f>C125/3250</f>
        <v>5.4116217727564564</v>
      </c>
      <c r="F125" s="28">
        <f>(D125-C125)/E125</f>
        <v>97.500000000000227</v>
      </c>
      <c r="G125" s="26"/>
      <c r="H125" s="33"/>
      <c r="I125" s="19">
        <f>E125*50/C125</f>
        <v>1.5384615384615384E-2</v>
      </c>
      <c r="J125" s="85">
        <f>(D125-$C4)/$C4</f>
        <v>17.115403884302239</v>
      </c>
    </row>
    <row r="126" spans="1:10">
      <c r="A126" s="104"/>
      <c r="B126" s="15">
        <f>B125+7</f>
        <v>43569</v>
      </c>
      <c r="C126" s="20">
        <f>D125+G125-H125</f>
        <v>18115.403884302239</v>
      </c>
      <c r="D126" s="17">
        <f>C126+(C126*0.03)</f>
        <v>18658.866000831305</v>
      </c>
      <c r="E126" s="17">
        <f>C126/3250</f>
        <v>5.5739704259391507</v>
      </c>
      <c r="F126" s="28">
        <f>(D126-C126)/E126</f>
        <v>97.499999999999858</v>
      </c>
      <c r="G126" s="26"/>
      <c r="H126" s="33"/>
      <c r="I126" s="19">
        <f>E126*50/C126</f>
        <v>1.5384615384615385E-2</v>
      </c>
      <c r="J126" s="85">
        <f>(D126-$C4)/$C4</f>
        <v>17.658866000831306</v>
      </c>
    </row>
    <row r="127" spans="1:10" ht="13" thickBot="1">
      <c r="A127" s="105"/>
      <c r="B127" s="15">
        <f>B126+7</f>
        <v>43576</v>
      </c>
      <c r="C127" s="20">
        <f>D126+G126-H126</f>
        <v>18658.866000831305</v>
      </c>
      <c r="D127" s="17">
        <f>C127+(C127*0.03)</f>
        <v>19218.631980856244</v>
      </c>
      <c r="E127" s="17">
        <f>C127/3250</f>
        <v>5.7411895387173244</v>
      </c>
      <c r="F127" s="28">
        <f>(D127-C127)/E127</f>
        <v>97.499999999999886</v>
      </c>
      <c r="G127" s="26"/>
      <c r="H127" s="33"/>
      <c r="I127" s="19">
        <f>E127*50/C127</f>
        <v>1.5384615384615382E-2</v>
      </c>
      <c r="J127" s="85">
        <f>(D127-$C4)/$C4</f>
        <v>18.218631980856244</v>
      </c>
    </row>
    <row r="128" spans="1:10" ht="13" thickBot="1">
      <c r="A128" s="78"/>
      <c r="B128" s="13"/>
      <c r="C128" s="22"/>
      <c r="D128" s="23"/>
      <c r="E128" s="23"/>
      <c r="F128" s="27"/>
      <c r="G128" s="30"/>
      <c r="H128" s="10"/>
      <c r="I128" s="24"/>
      <c r="J128" s="86"/>
    </row>
    <row r="129" spans="1:10">
      <c r="A129" s="103">
        <v>26</v>
      </c>
      <c r="B129" s="15">
        <f>B127+7</f>
        <v>43583</v>
      </c>
      <c r="C129" s="20">
        <f>D127+G127-H127</f>
        <v>19218.631980856244</v>
      </c>
      <c r="D129" s="17">
        <f>C129+(C129*0.03)</f>
        <v>19795.190940281933</v>
      </c>
      <c r="E129" s="17">
        <f>C129/3250</f>
        <v>5.9134252248788446</v>
      </c>
      <c r="F129" s="28">
        <f>(D129-C129)/E129</f>
        <v>97.50000000000027</v>
      </c>
      <c r="G129" s="26"/>
      <c r="H129" s="33"/>
      <c r="I129" s="19">
        <f>E129*50/C129</f>
        <v>1.5384615384615385E-2</v>
      </c>
      <c r="J129" s="85">
        <f>(D129-$C4)/$C4</f>
        <v>18.795190940281934</v>
      </c>
    </row>
    <row r="130" spans="1:10">
      <c r="A130" s="104"/>
      <c r="B130" s="15">
        <f>B129+7</f>
        <v>43590</v>
      </c>
      <c r="C130" s="20">
        <f>D129+G129-H129</f>
        <v>19795.190940281933</v>
      </c>
      <c r="D130" s="17">
        <f>C130+(C130*0.03)</f>
        <v>20389.046668490391</v>
      </c>
      <c r="E130" s="17">
        <f>C130/3250</f>
        <v>6.0908279816252104</v>
      </c>
      <c r="F130" s="28">
        <f>(D130-C130)/E130</f>
        <v>97.500000000000071</v>
      </c>
      <c r="G130" s="26"/>
      <c r="H130" s="33"/>
      <c r="I130" s="19">
        <f>E130*50/C130</f>
        <v>1.5384615384615385E-2</v>
      </c>
      <c r="J130" s="85">
        <f>(D130-$C4)/$C4</f>
        <v>19.389046668490391</v>
      </c>
    </row>
    <row r="131" spans="1:10">
      <c r="A131" s="104"/>
      <c r="B131" s="15">
        <f>B130+7</f>
        <v>43597</v>
      </c>
      <c r="C131" s="20">
        <f>D130+G130-H130</f>
        <v>20389.046668490391</v>
      </c>
      <c r="D131" s="17">
        <f>C131+(C131*0.03)</f>
        <v>21000.718068545102</v>
      </c>
      <c r="E131" s="17">
        <f>C131/3250</f>
        <v>6.2735528210739666</v>
      </c>
      <c r="F131" s="28">
        <f>(D131-C131)/E131</f>
        <v>97.499999999999858</v>
      </c>
      <c r="G131" s="26"/>
      <c r="H131" s="33"/>
      <c r="I131" s="19">
        <f>E131*50/C131</f>
        <v>1.5384615384615384E-2</v>
      </c>
      <c r="J131" s="85">
        <f>(D131-$C4)/$C4</f>
        <v>20.000718068545101</v>
      </c>
    </row>
    <row r="132" spans="1:10" ht="13" thickBot="1">
      <c r="A132" s="105"/>
      <c r="B132" s="15">
        <f>B131+7</f>
        <v>43604</v>
      </c>
      <c r="C132" s="20">
        <f>D131+G131-H131</f>
        <v>21000.718068545102</v>
      </c>
      <c r="D132" s="17">
        <f>C132+(C132*0.03)</f>
        <v>21630.739610601457</v>
      </c>
      <c r="E132" s="17">
        <f>C132/3250</f>
        <v>6.4617594057061849</v>
      </c>
      <c r="F132" s="28">
        <f>(D132-C132)/E132</f>
        <v>97.500000000000227</v>
      </c>
      <c r="G132" s="26"/>
      <c r="H132" s="33"/>
      <c r="I132" s="19">
        <f>E132*50/C132</f>
        <v>1.5384615384615385E-2</v>
      </c>
      <c r="J132" s="85">
        <f>(D132-$C4)/$C4</f>
        <v>20.630739610601456</v>
      </c>
    </row>
    <row r="133" spans="1:10" ht="13" thickBot="1">
      <c r="A133" s="78"/>
      <c r="B133" s="13"/>
      <c r="C133" s="22"/>
      <c r="D133" s="23"/>
      <c r="E133" s="23"/>
      <c r="F133" s="27"/>
      <c r="G133" s="30"/>
      <c r="H133" s="10"/>
      <c r="I133" s="24"/>
      <c r="J133" s="86"/>
    </row>
    <row r="134" spans="1:10">
      <c r="A134" s="103">
        <v>27</v>
      </c>
      <c r="B134" s="15">
        <f>B132+7</f>
        <v>43611</v>
      </c>
      <c r="C134" s="20">
        <f>D132+G132-H132</f>
        <v>21630.739610601457</v>
      </c>
      <c r="D134" s="17">
        <f>C134+(C134*0.03)</f>
        <v>22279.6617989195</v>
      </c>
      <c r="E134" s="17">
        <f>C134/3250</f>
        <v>6.6556121878773711</v>
      </c>
      <c r="F134" s="28">
        <f>(D134-C134)/E134</f>
        <v>97.499999999999972</v>
      </c>
      <c r="G134" s="26"/>
      <c r="H134" s="33"/>
      <c r="I134" s="19">
        <f>E134*50/C134</f>
        <v>1.5384615384615384E-2</v>
      </c>
      <c r="J134" s="85">
        <f>(D134-$C4)/$C4</f>
        <v>21.279661798919498</v>
      </c>
    </row>
    <row r="135" spans="1:10">
      <c r="A135" s="104"/>
      <c r="B135" s="15">
        <f>B134+7</f>
        <v>43618</v>
      </c>
      <c r="C135" s="20">
        <f>D134+G134-H134</f>
        <v>22279.6617989195</v>
      </c>
      <c r="D135" s="17">
        <f>C135+(C135*0.03)</f>
        <v>22948.051652887087</v>
      </c>
      <c r="E135" s="17">
        <f>C135/3250</f>
        <v>6.8552805535136923</v>
      </c>
      <c r="F135" s="28">
        <f>(D135-C135)/E135</f>
        <v>97.500000000000227</v>
      </c>
      <c r="G135" s="26"/>
      <c r="H135" s="33"/>
      <c r="I135" s="19">
        <f>E135*50/C135</f>
        <v>1.5384615384615384E-2</v>
      </c>
      <c r="J135" s="85">
        <f>(D135-$C4)/$C4</f>
        <v>21.948051652887088</v>
      </c>
    </row>
    <row r="136" spans="1:10">
      <c r="A136" s="104"/>
      <c r="B136" s="15">
        <f>B135+7</f>
        <v>43625</v>
      </c>
      <c r="C136" s="20">
        <f>D135+G135-H135</f>
        <v>22948.051652887087</v>
      </c>
      <c r="D136" s="17">
        <f>C136+(C136*0.03)</f>
        <v>23636.493202473699</v>
      </c>
      <c r="E136" s="17">
        <f>C136/3250</f>
        <v>7.0609389701191034</v>
      </c>
      <c r="F136" s="28">
        <f>(D136-C136)/E136</f>
        <v>97.499999999999972</v>
      </c>
      <c r="G136" s="26"/>
      <c r="H136" s="33"/>
      <c r="I136" s="19">
        <f>E136*50/C136</f>
        <v>1.5384615384615385E-2</v>
      </c>
      <c r="J136" s="85">
        <f>(D136-$C4)/$C4</f>
        <v>22.636493202473698</v>
      </c>
    </row>
    <row r="137" spans="1:10">
      <c r="A137" s="104"/>
      <c r="B137" s="15">
        <f>B136+7</f>
        <v>43632</v>
      </c>
      <c r="C137" s="20">
        <f>D136+G136-H136</f>
        <v>23636.493202473699</v>
      </c>
      <c r="D137" s="17">
        <f>C137+(C137*0.03)</f>
        <v>24345.587998547911</v>
      </c>
      <c r="E137" s="17">
        <f>C137/3250</f>
        <v>7.2727671392226769</v>
      </c>
      <c r="F137" s="28">
        <f>(D137-C137)/E137</f>
        <v>97.500000000000185</v>
      </c>
      <c r="G137" s="26"/>
      <c r="H137" s="33"/>
      <c r="I137" s="19">
        <f>E137*50/C137</f>
        <v>1.5384615384615385E-2</v>
      </c>
      <c r="J137" s="85">
        <f>(D137-$C4)/$C4</f>
        <v>23.345587998547913</v>
      </c>
    </row>
    <row r="138" spans="1:10" ht="14.25" customHeight="1" thickBot="1">
      <c r="A138" s="82"/>
      <c r="B138" s="15">
        <f>B137+7</f>
        <v>43639</v>
      </c>
      <c r="C138" s="20">
        <f>D137+G137-H137</f>
        <v>24345.587998547911</v>
      </c>
      <c r="D138" s="17">
        <f>C138+(C138*0.03)</f>
        <v>25075.955638504347</v>
      </c>
      <c r="E138" s="17">
        <f>C138/3250</f>
        <v>7.490950153399357</v>
      </c>
      <c r="F138" s="28">
        <f>(D138-C138)/E138</f>
        <v>97.499999999999773</v>
      </c>
      <c r="G138" s="26"/>
      <c r="H138" s="33"/>
      <c r="I138" s="19">
        <f>E138*50/C138</f>
        <v>1.5384615384615384E-2</v>
      </c>
      <c r="J138" s="85">
        <f>(D138-$C4)/$C4</f>
        <v>24.075955638504347</v>
      </c>
    </row>
    <row r="139" spans="1:10" ht="13" thickBot="1">
      <c r="A139" s="78"/>
      <c r="B139" s="13"/>
      <c r="C139" s="22"/>
      <c r="D139" s="23"/>
      <c r="E139" s="23"/>
      <c r="F139" s="27"/>
      <c r="G139" s="30"/>
      <c r="H139" s="10"/>
      <c r="I139" s="24"/>
      <c r="J139" s="86"/>
    </row>
  </sheetData>
  <mergeCells count="28">
    <mergeCell ref="A1:J1"/>
    <mergeCell ref="A119:A122"/>
    <mergeCell ref="A124:A127"/>
    <mergeCell ref="A129:A132"/>
    <mergeCell ref="A134:A137"/>
    <mergeCell ref="A89:A92"/>
    <mergeCell ref="A94:A97"/>
    <mergeCell ref="A99:A102"/>
    <mergeCell ref="A104:A107"/>
    <mergeCell ref="A109:A112"/>
    <mergeCell ref="A114:A117"/>
    <mergeCell ref="A84:A87"/>
    <mergeCell ref="A29:A32"/>
    <mergeCell ref="A34:A37"/>
    <mergeCell ref="A39:A42"/>
    <mergeCell ref="A44:A47"/>
    <mergeCell ref="A74:A77"/>
    <mergeCell ref="A79:A82"/>
    <mergeCell ref="A24:A27"/>
    <mergeCell ref="A4:A7"/>
    <mergeCell ref="A9:A12"/>
    <mergeCell ref="A14:A17"/>
    <mergeCell ref="A19:A22"/>
    <mergeCell ref="A49:A52"/>
    <mergeCell ref="A54:A57"/>
    <mergeCell ref="A59:A62"/>
    <mergeCell ref="A64:A67"/>
    <mergeCell ref="A69:A7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Reggie_M</vt:lpstr>
      <vt:lpstr>SharonN_Perfomance</vt:lpstr>
      <vt:lpstr>RichS_Perfomance</vt:lpstr>
      <vt:lpstr>BrianM_Perfomance</vt:lpstr>
      <vt:lpstr>Harm_Perfomance</vt:lpstr>
      <vt:lpstr>Rud_Perfomance</vt:lpstr>
      <vt:lpstr>Dam_Perfomance</vt:lpstr>
      <vt:lpstr>Taf_Perfomance</vt:lpstr>
      <vt:lpstr>Account_Perfomance</vt:lpstr>
      <vt:lpstr>Template</vt:lpstr>
      <vt:lpstr>Projections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tari</dc:creator>
  <cp:lastModifiedBy>Tafadzwa02</cp:lastModifiedBy>
  <dcterms:created xsi:type="dcterms:W3CDTF">2010-11-17T19:48:04Z</dcterms:created>
  <dcterms:modified xsi:type="dcterms:W3CDTF">2018-01-27T09:38:29Z</dcterms:modified>
</cp:coreProperties>
</file>