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5480" windowHeight="9120" tabRatio="817" activeTab="5"/>
  </bookViews>
  <sheets>
    <sheet name="BrianM_Perfomance" sheetId="281" r:id="rId1"/>
    <sheet name="Ham_Perfomance" sheetId="280" r:id="rId2"/>
    <sheet name="Rud_Perfomance" sheetId="277" r:id="rId3"/>
    <sheet name="Dam_Perfomance" sheetId="273" r:id="rId4"/>
    <sheet name="Taf_Perfomance" sheetId="262" r:id="rId5"/>
    <sheet name="Account_Perfomance" sheetId="276" r:id="rId6"/>
    <sheet name="Projections" sheetId="279" r:id="rId7"/>
  </sheets>
  <calcPr calcId="125725"/>
</workbook>
</file>

<file path=xl/calcChain.xml><?xml version="1.0" encoding="utf-8"?>
<calcChain xmlns="http://schemas.openxmlformats.org/spreadsheetml/2006/main">
  <c r="D10" i="280"/>
  <c r="D14" i="277"/>
  <c r="D14" i="273"/>
  <c r="C103" i="262"/>
  <c r="C14" i="276"/>
  <c r="D4" i="28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/>
  <c r="D5" s="1"/>
  <c r="D9" i="280"/>
  <c r="D12" i="277"/>
  <c r="D12" i="273"/>
  <c r="C101" i="262"/>
  <c r="C12" i="276"/>
  <c r="D7" i="280"/>
  <c r="D11" i="277"/>
  <c r="D11" i="273"/>
  <c r="C100" i="262"/>
  <c r="C11" i="276"/>
  <c r="D6" i="280"/>
  <c r="D10" i="277"/>
  <c r="C99" i="262"/>
  <c r="D10" i="273"/>
  <c r="C10" i="276"/>
  <c r="E5" i="281" l="1"/>
  <c r="I5" s="1"/>
  <c r="F4"/>
  <c r="J4"/>
  <c r="C9" i="276"/>
  <c r="D5" i="280"/>
  <c r="D9" i="277"/>
  <c r="D9" i="273"/>
  <c r="D4" i="280"/>
  <c r="D7" i="277"/>
  <c r="D7" i="273"/>
  <c r="C7" i="276"/>
  <c r="B5"/>
  <c r="B5" i="280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D4" i="279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8" s="1"/>
  <c r="D6" i="277"/>
  <c r="C6" i="281" l="1"/>
  <c r="D6" s="1"/>
  <c r="F5"/>
  <c r="J5"/>
  <c r="C5" i="279"/>
  <c r="D5" s="1"/>
  <c r="C6" s="1"/>
  <c r="D6" s="1"/>
  <c r="C7" s="1"/>
  <c r="E4" i="280"/>
  <c r="I4" s="1"/>
  <c r="E4" i="279"/>
  <c r="I4" s="1"/>
  <c r="E5"/>
  <c r="I5" s="1"/>
  <c r="E6" i="281" l="1"/>
  <c r="I6" s="1"/>
  <c r="F4" i="280"/>
  <c r="C5"/>
  <c r="J4"/>
  <c r="F5" i="279"/>
  <c r="E6"/>
  <c r="I6" s="1"/>
  <c r="F4"/>
  <c r="C7" i="281" l="1"/>
  <c r="D7" s="1"/>
  <c r="F6"/>
  <c r="J6"/>
  <c r="E5" i="280"/>
  <c r="I5" s="1"/>
  <c r="C6"/>
  <c r="D7" i="279"/>
  <c r="F6"/>
  <c r="E7" i="281" l="1"/>
  <c r="I7" s="1"/>
  <c r="F5" i="280"/>
  <c r="J5"/>
  <c r="E6"/>
  <c r="I6" s="1"/>
  <c r="C7"/>
  <c r="E7" i="279"/>
  <c r="I7" s="1"/>
  <c r="J7" i="281" l="1"/>
  <c r="C9"/>
  <c r="D9" s="1"/>
  <c r="F7"/>
  <c r="J6" i="280"/>
  <c r="F6"/>
  <c r="F7" i="279"/>
  <c r="C9"/>
  <c r="E9" i="281" l="1"/>
  <c r="I9" s="1"/>
  <c r="E7" i="280"/>
  <c r="I7" s="1"/>
  <c r="D9" i="279"/>
  <c r="E9"/>
  <c r="I9" s="1"/>
  <c r="C10" i="281" l="1"/>
  <c r="D10" s="1"/>
  <c r="F9"/>
  <c r="J9"/>
  <c r="J7" i="280"/>
  <c r="C9"/>
  <c r="F7"/>
  <c r="F9" i="279"/>
  <c r="C10"/>
  <c r="E10" i="281" l="1"/>
  <c r="I10" s="1"/>
  <c r="E9" i="280"/>
  <c r="I9" s="1"/>
  <c r="D10" i="279"/>
  <c r="E10"/>
  <c r="I10" s="1"/>
  <c r="J10" i="281" l="1"/>
  <c r="C11"/>
  <c r="D11" s="1"/>
  <c r="F10"/>
  <c r="C10" i="280"/>
  <c r="F9"/>
  <c r="J9"/>
  <c r="F10" i="279"/>
  <c r="C11"/>
  <c r="E11" i="281" l="1"/>
  <c r="I11" s="1"/>
  <c r="E10" i="280"/>
  <c r="I10" s="1"/>
  <c r="D11" i="279"/>
  <c r="E11"/>
  <c r="I11" s="1"/>
  <c r="C12" i="281" l="1"/>
  <c r="D12" s="1"/>
  <c r="F11"/>
  <c r="J11"/>
  <c r="C11" i="280"/>
  <c r="F10"/>
  <c r="J10"/>
  <c r="F11" i="279"/>
  <c r="C12"/>
  <c r="E12" i="281" l="1"/>
  <c r="I12" s="1"/>
  <c r="D11" i="280"/>
  <c r="E11"/>
  <c r="I11" s="1"/>
  <c r="D12" i="279"/>
  <c r="E12"/>
  <c r="I12" s="1"/>
  <c r="D5" i="277"/>
  <c r="D5" i="273"/>
  <c r="D4" i="277"/>
  <c r="D4" i="273"/>
  <c r="C4" i="276"/>
  <c r="B5" i="277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/>
  <c r="J12" i="281" l="1"/>
  <c r="F12"/>
  <c r="C14"/>
  <c r="C12" i="280"/>
  <c r="F11"/>
  <c r="J11"/>
  <c r="F12" i="279"/>
  <c r="C14"/>
  <c r="E5" i="277"/>
  <c r="I5" s="1"/>
  <c r="F4"/>
  <c r="J4"/>
  <c r="C91" i="262"/>
  <c r="E14" i="281" l="1"/>
  <c r="I14" s="1"/>
  <c r="D14"/>
  <c r="D12" i="280"/>
  <c r="E12"/>
  <c r="I12" s="1"/>
  <c r="D14" i="279"/>
  <c r="E14"/>
  <c r="I14" s="1"/>
  <c r="C6" i="277"/>
  <c r="F5"/>
  <c r="J5"/>
  <c r="A5" i="276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8" s="1"/>
  <c r="B5" i="273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J4" s="1"/>
  <c r="C5"/>
  <c r="C90" i="262"/>
  <c r="C89"/>
  <c r="C87"/>
  <c r="A5"/>
  <c r="A6"/>
  <c r="A7"/>
  <c r="A9"/>
  <c r="A10"/>
  <c r="A11"/>
  <c r="A12"/>
  <c r="A14"/>
  <c r="A15"/>
  <c r="A16"/>
  <c r="A17"/>
  <c r="A19"/>
  <c r="A20"/>
  <c r="A21"/>
  <c r="A22"/>
  <c r="A24"/>
  <c r="A25"/>
  <c r="A26"/>
  <c r="A27"/>
  <c r="A29"/>
  <c r="A30"/>
  <c r="A31"/>
  <c r="A32"/>
  <c r="A34"/>
  <c r="A35"/>
  <c r="A36"/>
  <c r="A37"/>
  <c r="A39"/>
  <c r="A40"/>
  <c r="A41"/>
  <c r="A42"/>
  <c r="A44"/>
  <c r="A45"/>
  <c r="A46"/>
  <c r="A47"/>
  <c r="A49"/>
  <c r="A50"/>
  <c r="A51"/>
  <c r="A52"/>
  <c r="A54"/>
  <c r="A55"/>
  <c r="A56"/>
  <c r="A57"/>
  <c r="A59"/>
  <c r="A60"/>
  <c r="A61"/>
  <c r="A62"/>
  <c r="A64"/>
  <c r="A65"/>
  <c r="A66"/>
  <c r="A67"/>
  <c r="A69"/>
  <c r="A70"/>
  <c r="A71"/>
  <c r="A72"/>
  <c r="A74"/>
  <c r="A75"/>
  <c r="A76"/>
  <c r="A77"/>
  <c r="A79"/>
  <c r="A80"/>
  <c r="A81"/>
  <c r="A82"/>
  <c r="A84"/>
  <c r="A85"/>
  <c r="A86"/>
  <c r="A87"/>
  <c r="A89"/>
  <c r="A90"/>
  <c r="A91"/>
  <c r="A93"/>
  <c r="A94"/>
  <c r="A95"/>
  <c r="A96"/>
  <c r="A98"/>
  <c r="A99"/>
  <c r="A100"/>
  <c r="A101"/>
  <c r="A103"/>
  <c r="A104"/>
  <c r="A105"/>
  <c r="A106"/>
  <c r="A108"/>
  <c r="A109"/>
  <c r="A110"/>
  <c r="A111"/>
  <c r="A113"/>
  <c r="A114"/>
  <c r="A115"/>
  <c r="A116"/>
  <c r="A118"/>
  <c r="A119"/>
  <c r="A120"/>
  <c r="A121"/>
  <c r="A123"/>
  <c r="A124"/>
  <c r="A125"/>
  <c r="A126"/>
  <c r="A128"/>
  <c r="A129"/>
  <c r="A130"/>
  <c r="A131"/>
  <c r="A133"/>
  <c r="A134"/>
  <c r="A135"/>
  <c r="A136"/>
  <c r="A138"/>
  <c r="A139"/>
  <c r="A140"/>
  <c r="A141"/>
  <c r="A143"/>
  <c r="A144"/>
  <c r="A145"/>
  <c r="A146"/>
  <c r="A148"/>
  <c r="A149"/>
  <c r="A150"/>
  <c r="A151"/>
  <c r="A153"/>
  <c r="A154"/>
  <c r="A155"/>
  <c r="A156"/>
  <c r="A158"/>
  <c r="A159"/>
  <c r="A160"/>
  <c r="A161"/>
  <c r="A163"/>
  <c r="A164"/>
  <c r="A165"/>
  <c r="A166"/>
  <c r="A168"/>
  <c r="A169"/>
  <c r="A170"/>
  <c r="A171"/>
  <c r="A173"/>
  <c r="A174"/>
  <c r="A175"/>
  <c r="A176"/>
  <c r="A178"/>
  <c r="A179"/>
  <c r="A180"/>
  <c r="A181"/>
  <c r="A183"/>
  <c r="A184"/>
  <c r="A185"/>
  <c r="A186"/>
  <c r="A188"/>
  <c r="A189"/>
  <c r="A190"/>
  <c r="A191"/>
  <c r="A193"/>
  <c r="A194"/>
  <c r="A195"/>
  <c r="A196"/>
  <c r="A198"/>
  <c r="A199"/>
  <c r="A200"/>
  <c r="A201"/>
  <c r="A203"/>
  <c r="A204"/>
  <c r="A205"/>
  <c r="A206"/>
  <c r="A208"/>
  <c r="A209"/>
  <c r="A210"/>
  <c r="A211"/>
  <c r="A213"/>
  <c r="A214"/>
  <c r="A215"/>
  <c r="A216"/>
  <c r="A218"/>
  <c r="A219"/>
  <c r="A220"/>
  <c r="A221"/>
  <c r="A223"/>
  <c r="A224"/>
  <c r="A225"/>
  <c r="A226"/>
  <c r="A227"/>
  <c r="D4"/>
  <c r="H4"/>
  <c r="C4"/>
  <c r="B5"/>
  <c r="E4"/>
  <c r="I4"/>
  <c r="C5"/>
  <c r="D5"/>
  <c r="H5"/>
  <c r="E5"/>
  <c r="B6"/>
  <c r="I5"/>
  <c r="D6"/>
  <c r="H6"/>
  <c r="C6"/>
  <c r="I6"/>
  <c r="E6"/>
  <c r="B7"/>
  <c r="C7"/>
  <c r="D7"/>
  <c r="H7"/>
  <c r="B9"/>
  <c r="E7"/>
  <c r="I7"/>
  <c r="D9"/>
  <c r="H9"/>
  <c r="C9"/>
  <c r="I9"/>
  <c r="E9"/>
  <c r="B10"/>
  <c r="D10"/>
  <c r="H10"/>
  <c r="C10"/>
  <c r="B11"/>
  <c r="E10"/>
  <c r="I10"/>
  <c r="D11"/>
  <c r="H11"/>
  <c r="C11"/>
  <c r="B12"/>
  <c r="E11"/>
  <c r="I11"/>
  <c r="C12"/>
  <c r="D12"/>
  <c r="H12"/>
  <c r="E12"/>
  <c r="B14"/>
  <c r="I12"/>
  <c r="D14"/>
  <c r="H14"/>
  <c r="C14"/>
  <c r="B15"/>
  <c r="E14"/>
  <c r="I14"/>
  <c r="C15"/>
  <c r="D15"/>
  <c r="H15"/>
  <c r="B16"/>
  <c r="E15"/>
  <c r="I15"/>
  <c r="C16"/>
  <c r="D16"/>
  <c r="H16"/>
  <c r="B17"/>
  <c r="E16"/>
  <c r="I16"/>
  <c r="D17"/>
  <c r="H17"/>
  <c r="C17"/>
  <c r="I17"/>
  <c r="E17"/>
  <c r="B19"/>
  <c r="C19"/>
  <c r="D19"/>
  <c r="H19"/>
  <c r="B20"/>
  <c r="E19"/>
  <c r="I19"/>
  <c r="D20"/>
  <c r="H20"/>
  <c r="C20"/>
  <c r="I20"/>
  <c r="E20"/>
  <c r="B21"/>
  <c r="C21"/>
  <c r="D21"/>
  <c r="H21"/>
  <c r="B22"/>
  <c r="E21"/>
  <c r="I21"/>
  <c r="D22"/>
  <c r="H22"/>
  <c r="C22"/>
  <c r="I22"/>
  <c r="E22"/>
  <c r="B24"/>
  <c r="D24"/>
  <c r="H24"/>
  <c r="C24"/>
  <c r="B25"/>
  <c r="E24"/>
  <c r="I24"/>
  <c r="D25"/>
  <c r="H25"/>
  <c r="C25"/>
  <c r="I25"/>
  <c r="E25"/>
  <c r="B26"/>
  <c r="D26"/>
  <c r="H26"/>
  <c r="C26"/>
  <c r="E26"/>
  <c r="B27"/>
  <c r="I26"/>
  <c r="C27"/>
  <c r="D27"/>
  <c r="H27"/>
  <c r="B29"/>
  <c r="E27"/>
  <c r="I27"/>
  <c r="C29"/>
  <c r="D29"/>
  <c r="H29"/>
  <c r="E29"/>
  <c r="B30"/>
  <c r="I29"/>
  <c r="C30"/>
  <c r="D30"/>
  <c r="H30"/>
  <c r="B31"/>
  <c r="E30"/>
  <c r="I30"/>
  <c r="C31"/>
  <c r="D31"/>
  <c r="H31"/>
  <c r="E31"/>
  <c r="B32"/>
  <c r="I31"/>
  <c r="D32"/>
  <c r="H32"/>
  <c r="C32"/>
  <c r="I32"/>
  <c r="E32"/>
  <c r="B34"/>
  <c r="C34"/>
  <c r="D34"/>
  <c r="H34"/>
  <c r="E34"/>
  <c r="B35"/>
  <c r="I34"/>
  <c r="D35"/>
  <c r="H35"/>
  <c r="C35"/>
  <c r="I35"/>
  <c r="E35"/>
  <c r="B36"/>
  <c r="D36"/>
  <c r="H36"/>
  <c r="C36"/>
  <c r="E36"/>
  <c r="B37"/>
  <c r="I36"/>
  <c r="D37"/>
  <c r="H37"/>
  <c r="C37"/>
  <c r="I37"/>
  <c r="B39"/>
  <c r="E37"/>
  <c r="D39"/>
  <c r="H39"/>
  <c r="C39"/>
  <c r="B40"/>
  <c r="E39"/>
  <c r="I39"/>
  <c r="C40"/>
  <c r="D40"/>
  <c r="H40"/>
  <c r="E40"/>
  <c r="B41"/>
  <c r="I40"/>
  <c r="D41"/>
  <c r="H41"/>
  <c r="C41"/>
  <c r="E41"/>
  <c r="B42"/>
  <c r="I41"/>
  <c r="C42"/>
  <c r="D42"/>
  <c r="H42"/>
  <c r="E42"/>
  <c r="B44"/>
  <c r="I42"/>
  <c r="D44"/>
  <c r="H44"/>
  <c r="C44"/>
  <c r="E44"/>
  <c r="B45"/>
  <c r="I44"/>
  <c r="C45"/>
  <c r="D45"/>
  <c r="H45"/>
  <c r="E45"/>
  <c r="B46"/>
  <c r="I45"/>
  <c r="D46"/>
  <c r="H46"/>
  <c r="C46"/>
  <c r="E46"/>
  <c r="B47"/>
  <c r="I46"/>
  <c r="C47"/>
  <c r="D47"/>
  <c r="H47"/>
  <c r="B49"/>
  <c r="E47"/>
  <c r="I47"/>
  <c r="D49"/>
  <c r="H49"/>
  <c r="C49"/>
  <c r="B50"/>
  <c r="E49"/>
  <c r="I49"/>
  <c r="D50"/>
  <c r="H50"/>
  <c r="C50"/>
  <c r="I50"/>
  <c r="E50"/>
  <c r="B51"/>
  <c r="D51"/>
  <c r="H51"/>
  <c r="C51"/>
  <c r="E51"/>
  <c r="B52"/>
  <c r="I51"/>
  <c r="D52"/>
  <c r="H52"/>
  <c r="C52"/>
  <c r="I52"/>
  <c r="E52"/>
  <c r="B54"/>
  <c r="D54"/>
  <c r="H54"/>
  <c r="C54"/>
  <c r="E54"/>
  <c r="B55"/>
  <c r="I54"/>
  <c r="D55"/>
  <c r="H55"/>
  <c r="C55"/>
  <c r="I55"/>
  <c r="E55"/>
  <c r="B56"/>
  <c r="D56"/>
  <c r="C56"/>
  <c r="G56"/>
  <c r="B57"/>
  <c r="H56"/>
  <c r="E56"/>
  <c r="I56"/>
  <c r="D57"/>
  <c r="H57"/>
  <c r="C57"/>
  <c r="B59"/>
  <c r="E57"/>
  <c r="I57"/>
  <c r="C59"/>
  <c r="D59"/>
  <c r="H59"/>
  <c r="I59"/>
  <c r="E59"/>
  <c r="B60"/>
  <c r="D60"/>
  <c r="H60"/>
  <c r="C60"/>
  <c r="E60"/>
  <c r="B61"/>
  <c r="I60"/>
  <c r="D61"/>
  <c r="H61"/>
  <c r="C61"/>
  <c r="I61"/>
  <c r="E61"/>
  <c r="B62"/>
  <c r="D62"/>
  <c r="H62"/>
  <c r="C62"/>
  <c r="B64"/>
  <c r="E62"/>
  <c r="I62"/>
  <c r="D64"/>
  <c r="H64"/>
  <c r="C64"/>
  <c r="I64"/>
  <c r="E64"/>
  <c r="B65"/>
  <c r="D65"/>
  <c r="H65"/>
  <c r="C65"/>
  <c r="B66"/>
  <c r="E65"/>
  <c r="I65"/>
  <c r="D66"/>
  <c r="H66"/>
  <c r="C66"/>
  <c r="I66"/>
  <c r="B67"/>
  <c r="E66"/>
  <c r="D67"/>
  <c r="H67"/>
  <c r="C67"/>
  <c r="B69"/>
  <c r="E67"/>
  <c r="I67"/>
  <c r="D69"/>
  <c r="H69"/>
  <c r="C69"/>
  <c r="B70"/>
  <c r="E69"/>
  <c r="I69"/>
  <c r="C70"/>
  <c r="D70"/>
  <c r="H70"/>
  <c r="I70"/>
  <c r="E70"/>
  <c r="B71"/>
  <c r="C71"/>
  <c r="D71"/>
  <c r="H71"/>
  <c r="B72"/>
  <c r="E71"/>
  <c r="I71"/>
  <c r="D72"/>
  <c r="H72"/>
  <c r="C72"/>
  <c r="I72"/>
  <c r="B74"/>
  <c r="E72"/>
  <c r="D74"/>
  <c r="H74"/>
  <c r="C74"/>
  <c r="I74"/>
  <c r="B75"/>
  <c r="E74"/>
  <c r="D75"/>
  <c r="H75"/>
  <c r="C75"/>
  <c r="B76"/>
  <c r="E75"/>
  <c r="I75"/>
  <c r="C76"/>
  <c r="D76"/>
  <c r="H76"/>
  <c r="B77"/>
  <c r="E76"/>
  <c r="I76"/>
  <c r="C77"/>
  <c r="D77"/>
  <c r="H77"/>
  <c r="B79"/>
  <c r="E77"/>
  <c r="I77"/>
  <c r="C79"/>
  <c r="D79"/>
  <c r="H79"/>
  <c r="I79"/>
  <c r="B80"/>
  <c r="E79"/>
  <c r="C80"/>
  <c r="D80"/>
  <c r="H80"/>
  <c r="B81"/>
  <c r="E80"/>
  <c r="I80"/>
  <c r="C81"/>
  <c r="D81"/>
  <c r="H81"/>
  <c r="E81"/>
  <c r="B82"/>
  <c r="I81"/>
  <c r="C82"/>
  <c r="D82"/>
  <c r="H82"/>
  <c r="B84"/>
  <c r="E82"/>
  <c r="I82"/>
  <c r="C84"/>
  <c r="D84"/>
  <c r="H84"/>
  <c r="E84"/>
  <c r="B85"/>
  <c r="I84"/>
  <c r="C85"/>
  <c r="D85"/>
  <c r="H85"/>
  <c r="I85"/>
  <c r="E85"/>
  <c r="B86"/>
  <c r="C86"/>
  <c r="D86"/>
  <c r="H86"/>
  <c r="B87"/>
  <c r="E86"/>
  <c r="I86"/>
  <c r="D87"/>
  <c r="H87"/>
  <c r="I87"/>
  <c r="B89"/>
  <c r="E87"/>
  <c r="D89"/>
  <c r="H89"/>
  <c r="E89"/>
  <c r="B90"/>
  <c r="I89"/>
  <c r="D90"/>
  <c r="H90"/>
  <c r="I90"/>
  <c r="B91"/>
  <c r="E90"/>
  <c r="D91"/>
  <c r="H91"/>
  <c r="I91"/>
  <c r="E91"/>
  <c r="B93"/>
  <c r="C93" s="1"/>
  <c r="J14" i="281" l="1"/>
  <c r="C15"/>
  <c r="F14"/>
  <c r="J12" i="280"/>
  <c r="C14"/>
  <c r="F12"/>
  <c r="F14" i="279"/>
  <c r="C15"/>
  <c r="E6" i="277"/>
  <c r="I6" s="1"/>
  <c r="D93" i="262"/>
  <c r="I93" s="1"/>
  <c r="B94"/>
  <c r="E5" i="273"/>
  <c r="I5" s="1"/>
  <c r="F4"/>
  <c r="I4"/>
  <c r="E15" i="281" l="1"/>
  <c r="I15" s="1"/>
  <c r="D15"/>
  <c r="C5" i="276"/>
  <c r="C94" i="262"/>
  <c r="H93"/>
  <c r="D14" i="280"/>
  <c r="E14"/>
  <c r="I14" s="1"/>
  <c r="D15" i="279"/>
  <c r="E15"/>
  <c r="I15" s="1"/>
  <c r="J6" i="277"/>
  <c r="J5" i="273"/>
  <c r="C7" i="277"/>
  <c r="F6"/>
  <c r="E93" i="262"/>
  <c r="D94"/>
  <c r="F5" i="273"/>
  <c r="C6"/>
  <c r="D6" s="1"/>
  <c r="C16" i="281" l="1"/>
  <c r="F15"/>
  <c r="J15"/>
  <c r="J14" i="280"/>
  <c r="C15"/>
  <c r="F14"/>
  <c r="F15" i="279"/>
  <c r="C16"/>
  <c r="E7" i="277"/>
  <c r="I7" s="1"/>
  <c r="B95" i="262"/>
  <c r="C95" s="1"/>
  <c r="E94"/>
  <c r="I94"/>
  <c r="H94"/>
  <c r="E6" i="273"/>
  <c r="I6" s="1"/>
  <c r="D16" i="281" l="1"/>
  <c r="E16"/>
  <c r="I16" s="1"/>
  <c r="D15" i="280"/>
  <c r="E15"/>
  <c r="I15" s="1"/>
  <c r="D16" i="279"/>
  <c r="E16"/>
  <c r="I16" s="1"/>
  <c r="J6" i="273"/>
  <c r="C9" i="277"/>
  <c r="F7"/>
  <c r="J7"/>
  <c r="D95" i="262"/>
  <c r="H95" s="1"/>
  <c r="C7" i="273"/>
  <c r="F6"/>
  <c r="J16" i="281" l="1"/>
  <c r="C17"/>
  <c r="F16"/>
  <c r="J15" i="280"/>
  <c r="C16"/>
  <c r="F15"/>
  <c r="F16" i="279"/>
  <c r="C17"/>
  <c r="I95" i="262"/>
  <c r="E9" i="277"/>
  <c r="I9" s="1"/>
  <c r="B96" i="262"/>
  <c r="C96" s="1"/>
  <c r="E95"/>
  <c r="E7" i="273"/>
  <c r="I7" s="1"/>
  <c r="D17" i="281" l="1"/>
  <c r="E17"/>
  <c r="I17" s="1"/>
  <c r="D16" i="280"/>
  <c r="E16"/>
  <c r="I16" s="1"/>
  <c r="D17" i="279"/>
  <c r="E17"/>
  <c r="I17" s="1"/>
  <c r="J9" i="277"/>
  <c r="C10"/>
  <c r="F9"/>
  <c r="D96" i="262"/>
  <c r="H96" s="1"/>
  <c r="F7" i="273"/>
  <c r="C9"/>
  <c r="J7"/>
  <c r="H17" i="281" l="1"/>
  <c r="C19" s="1"/>
  <c r="F17"/>
  <c r="J17"/>
  <c r="J16" i="280"/>
  <c r="C17"/>
  <c r="F16"/>
  <c r="F17" i="279"/>
  <c r="C19"/>
  <c r="E10" i="277"/>
  <c r="I10" s="1"/>
  <c r="I96" i="262"/>
  <c r="B98"/>
  <c r="C98" s="1"/>
  <c r="E96"/>
  <c r="E9" i="273"/>
  <c r="I9" s="1"/>
  <c r="E19" i="281" l="1"/>
  <c r="I19" s="1"/>
  <c r="D19"/>
  <c r="E17" i="280"/>
  <c r="I17" s="1"/>
  <c r="D17"/>
  <c r="E19" i="279"/>
  <c r="I19" s="1"/>
  <c r="D19"/>
  <c r="J10" i="277"/>
  <c r="C11"/>
  <c r="F10"/>
  <c r="J9" i="273"/>
  <c r="D98" i="262"/>
  <c r="H98" s="1"/>
  <c r="C10" i="273"/>
  <c r="F9"/>
  <c r="C20" i="281" l="1"/>
  <c r="F19"/>
  <c r="J19"/>
  <c r="J17" i="280"/>
  <c r="F17"/>
  <c r="H17"/>
  <c r="C19" s="1"/>
  <c r="F19" i="279"/>
  <c r="C20"/>
  <c r="E11" i="277"/>
  <c r="I11" s="1"/>
  <c r="I98" i="262"/>
  <c r="B99"/>
  <c r="E98"/>
  <c r="E10" i="273"/>
  <c r="I10" s="1"/>
  <c r="E20" i="281" l="1"/>
  <c r="I20" s="1"/>
  <c r="D20"/>
  <c r="D19" i="280"/>
  <c r="E19"/>
  <c r="I19" s="1"/>
  <c r="E20" i="279"/>
  <c r="I20" s="1"/>
  <c r="D20"/>
  <c r="J11" i="277"/>
  <c r="J10" i="273"/>
  <c r="C12" i="277"/>
  <c r="F11"/>
  <c r="D99" i="262"/>
  <c r="H99" s="1"/>
  <c r="C11" i="273"/>
  <c r="F10"/>
  <c r="C21" i="281" l="1"/>
  <c r="F20"/>
  <c r="J20"/>
  <c r="J19" i="280"/>
  <c r="C20"/>
  <c r="F19"/>
  <c r="F20" i="279"/>
  <c r="C21"/>
  <c r="E12" i="277"/>
  <c r="I12" s="1"/>
  <c r="I99" i="262"/>
  <c r="B100"/>
  <c r="E99"/>
  <c r="E11" i="273"/>
  <c r="I11" s="1"/>
  <c r="E21" i="281" l="1"/>
  <c r="I21" s="1"/>
  <c r="D21"/>
  <c r="E20" i="280"/>
  <c r="I20" s="1"/>
  <c r="D20"/>
  <c r="E21" i="279"/>
  <c r="I21" s="1"/>
  <c r="D21"/>
  <c r="J12" i="277"/>
  <c r="C14"/>
  <c r="F12"/>
  <c r="D100" i="262"/>
  <c r="H100" s="1"/>
  <c r="J11" i="273"/>
  <c r="C12"/>
  <c r="F11"/>
  <c r="F21" i="281" l="1"/>
  <c r="C22"/>
  <c r="J21"/>
  <c r="J20" i="280"/>
  <c r="F20"/>
  <c r="C21"/>
  <c r="C22" i="279"/>
  <c r="F21"/>
  <c r="E14" i="277"/>
  <c r="I14" s="1"/>
  <c r="I100" i="262"/>
  <c r="E100"/>
  <c r="B101"/>
  <c r="E12" i="273"/>
  <c r="I12" s="1"/>
  <c r="E22" i="281" l="1"/>
  <c r="I22" s="1"/>
  <c r="D22"/>
  <c r="J12" i="273"/>
  <c r="E21" i="280"/>
  <c r="I21" s="1"/>
  <c r="D21"/>
  <c r="D22" i="279"/>
  <c r="E22"/>
  <c r="I22" s="1"/>
  <c r="J14" i="277"/>
  <c r="C15"/>
  <c r="F14"/>
  <c r="D101" i="262"/>
  <c r="H101" s="1"/>
  <c r="C14" i="273"/>
  <c r="F12"/>
  <c r="C24" i="281" l="1"/>
  <c r="F22"/>
  <c r="J22"/>
  <c r="J21" i="280"/>
  <c r="C22"/>
  <c r="F21"/>
  <c r="F22" i="279"/>
  <c r="C24"/>
  <c r="D15" i="277"/>
  <c r="E15"/>
  <c r="I15" s="1"/>
  <c r="E101" i="262"/>
  <c r="B103"/>
  <c r="I101"/>
  <c r="E14" i="273"/>
  <c r="I14" s="1"/>
  <c r="E24" i="281" l="1"/>
  <c r="I24" s="1"/>
  <c r="D24"/>
  <c r="D22" i="280"/>
  <c r="E22"/>
  <c r="I22" s="1"/>
  <c r="D24" i="279"/>
  <c r="E24"/>
  <c r="I24" s="1"/>
  <c r="J15" i="277"/>
  <c r="C16"/>
  <c r="F15"/>
  <c r="D103" i="262"/>
  <c r="H103" s="1"/>
  <c r="F14" i="273"/>
  <c r="C15"/>
  <c r="J14"/>
  <c r="J24" i="281" l="1"/>
  <c r="C25"/>
  <c r="F24"/>
  <c r="C24" i="280"/>
  <c r="F22"/>
  <c r="J22"/>
  <c r="F24" i="279"/>
  <c r="C25"/>
  <c r="E16" i="277"/>
  <c r="I16" s="1"/>
  <c r="D16"/>
  <c r="B104" i="262"/>
  <c r="E103"/>
  <c r="I103"/>
  <c r="D15" i="273"/>
  <c r="E15"/>
  <c r="I15" s="1"/>
  <c r="D25" i="281" l="1"/>
  <c r="E25"/>
  <c r="I25" s="1"/>
  <c r="D24" i="280"/>
  <c r="E24"/>
  <c r="I24" s="1"/>
  <c r="D25" i="279"/>
  <c r="E25"/>
  <c r="I25" s="1"/>
  <c r="J16" i="277"/>
  <c r="C17"/>
  <c r="F16"/>
  <c r="C104" i="262"/>
  <c r="D104"/>
  <c r="H104" s="1"/>
  <c r="J15" i="273"/>
  <c r="F15"/>
  <c r="C16"/>
  <c r="C26" i="281" l="1"/>
  <c r="F25"/>
  <c r="J25"/>
  <c r="J24" i="280"/>
  <c r="C25"/>
  <c r="F24"/>
  <c r="F25" i="279"/>
  <c r="C26"/>
  <c r="D17" i="277"/>
  <c r="E17"/>
  <c r="I17" s="1"/>
  <c r="B105" i="262"/>
  <c r="E104"/>
  <c r="I104"/>
  <c r="E16" i="273"/>
  <c r="I16" s="1"/>
  <c r="D16"/>
  <c r="D26" i="281" l="1"/>
  <c r="E26"/>
  <c r="I26" s="1"/>
  <c r="E25" i="280"/>
  <c r="I25" s="1"/>
  <c r="D25"/>
  <c r="D26" i="279"/>
  <c r="E26"/>
  <c r="I26" s="1"/>
  <c r="J17" i="277"/>
  <c r="F17"/>
  <c r="H17"/>
  <c r="C19" s="1"/>
  <c r="D105" i="262"/>
  <c r="H105" s="1"/>
  <c r="C105"/>
  <c r="I105"/>
  <c r="J16" i="273"/>
  <c r="F16"/>
  <c r="C17"/>
  <c r="J26" i="281" l="1"/>
  <c r="C27"/>
  <c r="F26"/>
  <c r="C26" i="280"/>
  <c r="F25"/>
  <c r="J25"/>
  <c r="F26" i="279"/>
  <c r="C27"/>
  <c r="D19" i="277"/>
  <c r="E19"/>
  <c r="I19" s="1"/>
  <c r="B106" i="262"/>
  <c r="E105"/>
  <c r="D17" i="273"/>
  <c r="H17" s="1"/>
  <c r="E17"/>
  <c r="I17" s="1"/>
  <c r="E27" i="281" l="1"/>
  <c r="I27" s="1"/>
  <c r="D27"/>
  <c r="D26" i="280"/>
  <c r="E26"/>
  <c r="I26" s="1"/>
  <c r="D27" i="279"/>
  <c r="E27"/>
  <c r="I27" s="1"/>
  <c r="J19" i="277"/>
  <c r="C20"/>
  <c r="F19"/>
  <c r="C106" i="262"/>
  <c r="D106"/>
  <c r="H106" s="1"/>
  <c r="F17" i="273"/>
  <c r="C19"/>
  <c r="J17"/>
  <c r="C29" i="281" l="1"/>
  <c r="F27"/>
  <c r="J27"/>
  <c r="J26" i="280"/>
  <c r="C27"/>
  <c r="F26"/>
  <c r="F27" i="279"/>
  <c r="C29"/>
  <c r="E20" i="277"/>
  <c r="I20" s="1"/>
  <c r="D20"/>
  <c r="B108" i="262"/>
  <c r="E106"/>
  <c r="I106"/>
  <c r="D19" i="273"/>
  <c r="E19"/>
  <c r="I19" s="1"/>
  <c r="E29" i="281" l="1"/>
  <c r="I29" s="1"/>
  <c r="D29"/>
  <c r="D27" i="280"/>
  <c r="E27"/>
  <c r="I27" s="1"/>
  <c r="D29" i="279"/>
  <c r="E29"/>
  <c r="I29" s="1"/>
  <c r="J20" i="277"/>
  <c r="C21"/>
  <c r="F20"/>
  <c r="C108" i="262"/>
  <c r="D108"/>
  <c r="H108" s="1"/>
  <c r="J19" i="273"/>
  <c r="F19"/>
  <c r="C20"/>
  <c r="C30" i="281" l="1"/>
  <c r="F29"/>
  <c r="J29"/>
  <c r="C29" i="280"/>
  <c r="F27"/>
  <c r="J27"/>
  <c r="F29" i="279"/>
  <c r="C30"/>
  <c r="D21" i="277"/>
  <c r="E21"/>
  <c r="I21" s="1"/>
  <c r="B109" i="262"/>
  <c r="E108"/>
  <c r="I108"/>
  <c r="D20" i="273"/>
  <c r="E20"/>
  <c r="I20" s="1"/>
  <c r="D30" i="281" l="1"/>
  <c r="E30"/>
  <c r="I30" s="1"/>
  <c r="D29" i="280"/>
  <c r="E29"/>
  <c r="I29" s="1"/>
  <c r="E30" i="279"/>
  <c r="I30" s="1"/>
  <c r="D30"/>
  <c r="J21" i="277"/>
  <c r="C22"/>
  <c r="F21"/>
  <c r="D109" i="262"/>
  <c r="H109" s="1"/>
  <c r="C109"/>
  <c r="J20" i="273"/>
  <c r="F20"/>
  <c r="C21"/>
  <c r="J30" i="281" l="1"/>
  <c r="C31"/>
  <c r="F30"/>
  <c r="J29" i="280"/>
  <c r="C30"/>
  <c r="F29"/>
  <c r="F30" i="279"/>
  <c r="C31"/>
  <c r="E22" i="277"/>
  <c r="I22" s="1"/>
  <c r="D22"/>
  <c r="I109" i="262"/>
  <c r="E109"/>
  <c r="B110"/>
  <c r="E21" i="273"/>
  <c r="I21" s="1"/>
  <c r="D21"/>
  <c r="E31" i="281" l="1"/>
  <c r="I31" s="1"/>
  <c r="D31"/>
  <c r="D30" i="280"/>
  <c r="E30"/>
  <c r="I30" s="1"/>
  <c r="E31" i="279"/>
  <c r="I31" s="1"/>
  <c r="D31"/>
  <c r="J22" i="277"/>
  <c r="C24"/>
  <c r="F22"/>
  <c r="C110" i="262"/>
  <c r="D110"/>
  <c r="H110" s="1"/>
  <c r="J21" i="273"/>
  <c r="F21"/>
  <c r="C22"/>
  <c r="C32" i="281" l="1"/>
  <c r="F31"/>
  <c r="J31"/>
  <c r="J30" i="280"/>
  <c r="C31"/>
  <c r="F30"/>
  <c r="F31" i="279"/>
  <c r="C32"/>
  <c r="D24" i="277"/>
  <c r="E24"/>
  <c r="I24" s="1"/>
  <c r="I110" i="262"/>
  <c r="B111"/>
  <c r="E110"/>
  <c r="D22" i="273"/>
  <c r="E22"/>
  <c r="I22" s="1"/>
  <c r="D32" i="281" l="1"/>
  <c r="E32"/>
  <c r="I32" s="1"/>
  <c r="D31" i="280"/>
  <c r="E31"/>
  <c r="I31" s="1"/>
  <c r="E32" i="279"/>
  <c r="I32" s="1"/>
  <c r="D32"/>
  <c r="J24" i="277"/>
  <c r="C25"/>
  <c r="F24"/>
  <c r="J22" i="273"/>
  <c r="D111" i="262"/>
  <c r="H111" s="1"/>
  <c r="C111"/>
  <c r="F22" i="273"/>
  <c r="C24"/>
  <c r="F32" i="281" l="1"/>
  <c r="H32"/>
  <c r="C34" s="1"/>
  <c r="J32"/>
  <c r="J31" i="280"/>
  <c r="C32"/>
  <c r="F31"/>
  <c r="F32" i="279"/>
  <c r="C34"/>
  <c r="E25" i="277"/>
  <c r="I25" s="1"/>
  <c r="D25"/>
  <c r="I111" i="262"/>
  <c r="B113"/>
  <c r="E111"/>
  <c r="D24" i="273"/>
  <c r="E24"/>
  <c r="I24" s="1"/>
  <c r="E34" i="281" l="1"/>
  <c r="I34" s="1"/>
  <c r="D34"/>
  <c r="D32" i="280"/>
  <c r="E32"/>
  <c r="I32" s="1"/>
  <c r="D34" i="279"/>
  <c r="E34"/>
  <c r="I34" s="1"/>
  <c r="J25" i="277"/>
  <c r="C26"/>
  <c r="F25"/>
  <c r="C113" i="262"/>
  <c r="D113"/>
  <c r="H113" s="1"/>
  <c r="F24" i="273"/>
  <c r="C25"/>
  <c r="J24"/>
  <c r="C35" i="281" l="1"/>
  <c r="F34"/>
  <c r="J34"/>
  <c r="J32" i="280"/>
  <c r="F32"/>
  <c r="H32"/>
  <c r="C34" s="1"/>
  <c r="F34" i="279"/>
  <c r="C35"/>
  <c r="D26" i="277"/>
  <c r="E26"/>
  <c r="I26" s="1"/>
  <c r="I113" i="262"/>
  <c r="B114"/>
  <c r="E113"/>
  <c r="E25" i="273"/>
  <c r="I25" s="1"/>
  <c r="D25"/>
  <c r="E35" i="281" l="1"/>
  <c r="I35" s="1"/>
  <c r="D35"/>
  <c r="D34" i="280"/>
  <c r="E34"/>
  <c r="I34" s="1"/>
  <c r="D35" i="279"/>
  <c r="E35"/>
  <c r="I35" s="1"/>
  <c r="J26" i="277"/>
  <c r="C27"/>
  <c r="F26"/>
  <c r="C114" i="262"/>
  <c r="D114"/>
  <c r="H114" s="1"/>
  <c r="F25" i="273"/>
  <c r="C26"/>
  <c r="J25"/>
  <c r="J35" i="281" l="1"/>
  <c r="C36"/>
  <c r="F35"/>
  <c r="J34" i="280"/>
  <c r="C35"/>
  <c r="F34"/>
  <c r="F35" i="279"/>
  <c r="C36"/>
  <c r="E27" i="277"/>
  <c r="I27" s="1"/>
  <c r="D27"/>
  <c r="B115" i="262"/>
  <c r="E114"/>
  <c r="I114"/>
  <c r="D26" i="273"/>
  <c r="E26"/>
  <c r="I26" s="1"/>
  <c r="E36" i="281" l="1"/>
  <c r="I36" s="1"/>
  <c r="D36"/>
  <c r="E35" i="280"/>
  <c r="I35" s="1"/>
  <c r="D35"/>
  <c r="D36" i="279"/>
  <c r="E36"/>
  <c r="I36" s="1"/>
  <c r="J27" i="277"/>
  <c r="C29"/>
  <c r="F27"/>
  <c r="D115" i="262"/>
  <c r="H115" s="1"/>
  <c r="C115"/>
  <c r="I115"/>
  <c r="F26" i="273"/>
  <c r="C27"/>
  <c r="J26"/>
  <c r="C37" i="281" l="1"/>
  <c r="F36"/>
  <c r="J36"/>
  <c r="J35" i="280"/>
  <c r="C36"/>
  <c r="F35"/>
  <c r="F36" i="279"/>
  <c r="C37"/>
  <c r="D29" i="277"/>
  <c r="E29"/>
  <c r="I29" s="1"/>
  <c r="B116" i="262"/>
  <c r="E115"/>
  <c r="E27" i="273"/>
  <c r="I27" s="1"/>
  <c r="D27"/>
  <c r="E37" i="281" l="1"/>
  <c r="I37" s="1"/>
  <c r="D37"/>
  <c r="D36" i="280"/>
  <c r="E36"/>
  <c r="I36" s="1"/>
  <c r="D37" i="279"/>
  <c r="E37"/>
  <c r="I37" s="1"/>
  <c r="J29" i="277"/>
  <c r="C30"/>
  <c r="F29"/>
  <c r="J27" i="273"/>
  <c r="C116" i="262"/>
  <c r="D116"/>
  <c r="H116" s="1"/>
  <c r="C29" i="273"/>
  <c r="F27"/>
  <c r="J37" i="281" l="1"/>
  <c r="C39"/>
  <c r="F37"/>
  <c r="J36" i="280"/>
  <c r="C37"/>
  <c r="F36"/>
  <c r="F37" i="279"/>
  <c r="C39"/>
  <c r="E30" i="277"/>
  <c r="I30" s="1"/>
  <c r="D30"/>
  <c r="B118" i="262"/>
  <c r="E116"/>
  <c r="I116"/>
  <c r="E29" i="273"/>
  <c r="I29" s="1"/>
  <c r="D29"/>
  <c r="E39" i="281" l="1"/>
  <c r="I39" s="1"/>
  <c r="D39"/>
  <c r="E37" i="280"/>
  <c r="I37" s="1"/>
  <c r="D37"/>
  <c r="D39" i="279"/>
  <c r="E39"/>
  <c r="I39" s="1"/>
  <c r="J30" i="277"/>
  <c r="C31"/>
  <c r="F30"/>
  <c r="C118" i="262"/>
  <c r="D118"/>
  <c r="H118" s="1"/>
  <c r="F29" i="273"/>
  <c r="C30"/>
  <c r="J29"/>
  <c r="C40" i="281" l="1"/>
  <c r="F39"/>
  <c r="J39"/>
  <c r="J37" i="280"/>
  <c r="C39"/>
  <c r="F37"/>
  <c r="F39" i="279"/>
  <c r="C40"/>
  <c r="D31" i="277"/>
  <c r="E31"/>
  <c r="I31" s="1"/>
  <c r="I118" i="262"/>
  <c r="B119"/>
  <c r="E118"/>
  <c r="D30" i="273"/>
  <c r="E30"/>
  <c r="I30" s="1"/>
  <c r="D40" i="281" l="1"/>
  <c r="E40"/>
  <c r="I40" s="1"/>
  <c r="D39" i="280"/>
  <c r="E39"/>
  <c r="I39" s="1"/>
  <c r="D40" i="279"/>
  <c r="E40"/>
  <c r="I40" s="1"/>
  <c r="J31" i="277"/>
  <c r="C32"/>
  <c r="F31"/>
  <c r="D119" i="262"/>
  <c r="H119" s="1"/>
  <c r="C119"/>
  <c r="F30" i="273"/>
  <c r="C31"/>
  <c r="J30"/>
  <c r="C41" i="281" l="1"/>
  <c r="F40"/>
  <c r="J40"/>
  <c r="J39" i="280"/>
  <c r="C40"/>
  <c r="F39"/>
  <c r="F40" i="279"/>
  <c r="C41"/>
  <c r="E32" i="277"/>
  <c r="I32" s="1"/>
  <c r="D32"/>
  <c r="B120" i="262"/>
  <c r="E119"/>
  <c r="I119"/>
  <c r="E31" i="273"/>
  <c r="I31" s="1"/>
  <c r="D31"/>
  <c r="E41" i="281" l="1"/>
  <c r="I41" s="1"/>
  <c r="D41"/>
  <c r="E40" i="280"/>
  <c r="I40" s="1"/>
  <c r="D40"/>
  <c r="D41" i="279"/>
  <c r="E41"/>
  <c r="I41" s="1"/>
  <c r="H32" i="277"/>
  <c r="C34" s="1"/>
  <c r="F32"/>
  <c r="J32"/>
  <c r="C120" i="262"/>
  <c r="D120"/>
  <c r="H120" s="1"/>
  <c r="J31" i="273"/>
  <c r="F31"/>
  <c r="C32"/>
  <c r="C42" i="281" l="1"/>
  <c r="F41"/>
  <c r="J41"/>
  <c r="J40" i="280"/>
  <c r="C41"/>
  <c r="F40"/>
  <c r="F41" i="279"/>
  <c r="C42"/>
  <c r="E34" i="277"/>
  <c r="I34" s="1"/>
  <c r="D34"/>
  <c r="I120" i="262"/>
  <c r="B121"/>
  <c r="E120"/>
  <c r="D32" i="273"/>
  <c r="H32" s="1"/>
  <c r="E32"/>
  <c r="I32" s="1"/>
  <c r="D42" i="281" l="1"/>
  <c r="E42"/>
  <c r="I42" s="1"/>
  <c r="D41" i="280"/>
  <c r="E41"/>
  <c r="I41" s="1"/>
  <c r="D42" i="279"/>
  <c r="E42"/>
  <c r="I42" s="1"/>
  <c r="J34" i="277"/>
  <c r="C35"/>
  <c r="F34"/>
  <c r="D121" i="262"/>
  <c r="H121" s="1"/>
  <c r="C121"/>
  <c r="F32" i="273"/>
  <c r="C34"/>
  <c r="J32"/>
  <c r="J42" i="281" l="1"/>
  <c r="C44"/>
  <c r="F42"/>
  <c r="J41" i="280"/>
  <c r="C42"/>
  <c r="F41"/>
  <c r="F42" i="279"/>
  <c r="C44"/>
  <c r="D35" i="277"/>
  <c r="E35"/>
  <c r="I35" s="1"/>
  <c r="I121" i="262"/>
  <c r="E121"/>
  <c r="B123"/>
  <c r="D34" i="273"/>
  <c r="E34"/>
  <c r="I34" s="1"/>
  <c r="E44" i="281" l="1"/>
  <c r="I44" s="1"/>
  <c r="D44"/>
  <c r="E42" i="280"/>
  <c r="I42" s="1"/>
  <c r="D42"/>
  <c r="D44" i="279"/>
  <c r="E44"/>
  <c r="I44" s="1"/>
  <c r="J35" i="277"/>
  <c r="C36"/>
  <c r="F35"/>
  <c r="J34" i="273"/>
  <c r="D123" i="262"/>
  <c r="H123" s="1"/>
  <c r="C123"/>
  <c r="F34" i="273"/>
  <c r="C35"/>
  <c r="J44" i="281" l="1"/>
  <c r="C45"/>
  <c r="F44"/>
  <c r="J42" i="280"/>
  <c r="C44"/>
  <c r="F42"/>
  <c r="F44" i="279"/>
  <c r="C45"/>
  <c r="E36" i="277"/>
  <c r="I36" s="1"/>
  <c r="D36"/>
  <c r="I123" i="262"/>
  <c r="B124"/>
  <c r="E123"/>
  <c r="E35" i="273"/>
  <c r="I35" s="1"/>
  <c r="D35"/>
  <c r="D45" i="281" l="1"/>
  <c r="E45"/>
  <c r="I45" s="1"/>
  <c r="D44" i="280"/>
  <c r="E44"/>
  <c r="I44" s="1"/>
  <c r="D45" i="279"/>
  <c r="E45"/>
  <c r="I45" s="1"/>
  <c r="J36" i="277"/>
  <c r="C37"/>
  <c r="F36"/>
  <c r="J35" i="273"/>
  <c r="D124" i="262"/>
  <c r="H124" s="1"/>
  <c r="C124"/>
  <c r="F35" i="273"/>
  <c r="C36"/>
  <c r="J45" i="281" l="1"/>
  <c r="C46"/>
  <c r="F45"/>
  <c r="J44" i="280"/>
  <c r="C45"/>
  <c r="F44"/>
  <c r="F45" i="279"/>
  <c r="C46"/>
  <c r="D37" i="277"/>
  <c r="E37"/>
  <c r="I37" s="1"/>
  <c r="I124" i="262"/>
  <c r="E124"/>
  <c r="B125"/>
  <c r="D36" i="273"/>
  <c r="E36"/>
  <c r="I36" s="1"/>
  <c r="E46" i="281" l="1"/>
  <c r="I46" s="1"/>
  <c r="D46"/>
  <c r="E45" i="280"/>
  <c r="I45" s="1"/>
  <c r="D45"/>
  <c r="D46" i="279"/>
  <c r="E46"/>
  <c r="I46" s="1"/>
  <c r="J37" i="277"/>
  <c r="C39"/>
  <c r="F37"/>
  <c r="D125" i="262"/>
  <c r="H125" s="1"/>
  <c r="C125"/>
  <c r="J36" i="273"/>
  <c r="F36"/>
  <c r="C37"/>
  <c r="J46" i="281" l="1"/>
  <c r="C47"/>
  <c r="F46"/>
  <c r="J45" i="280"/>
  <c r="C46"/>
  <c r="F45"/>
  <c r="F46" i="279"/>
  <c r="C47"/>
  <c r="E39" i="277"/>
  <c r="I39" s="1"/>
  <c r="D39"/>
  <c r="I125" i="262"/>
  <c r="B126"/>
  <c r="E125"/>
  <c r="E37" i="273"/>
  <c r="I37" s="1"/>
  <c r="D37"/>
  <c r="J37"/>
  <c r="D47" i="281" l="1"/>
  <c r="E47"/>
  <c r="I47" s="1"/>
  <c r="D46" i="280"/>
  <c r="E46"/>
  <c r="I46" s="1"/>
  <c r="D47" i="279"/>
  <c r="E47"/>
  <c r="I47" s="1"/>
  <c r="J39" i="277"/>
  <c r="C40"/>
  <c r="F39"/>
  <c r="C126" i="262"/>
  <c r="D126"/>
  <c r="H126" s="1"/>
  <c r="C39" i="273"/>
  <c r="F37"/>
  <c r="F47" i="281" l="1"/>
  <c r="H47"/>
  <c r="C49" s="1"/>
  <c r="J47"/>
  <c r="J46" i="280"/>
  <c r="C47"/>
  <c r="F46"/>
  <c r="F47" i="279"/>
  <c r="C49"/>
  <c r="D40" i="277"/>
  <c r="E40"/>
  <c r="I40" s="1"/>
  <c r="B128" i="262"/>
  <c r="E126"/>
  <c r="I126"/>
  <c r="E39" i="273"/>
  <c r="I39" s="1"/>
  <c r="D39"/>
  <c r="D49" i="281" l="1"/>
  <c r="E49"/>
  <c r="I49" s="1"/>
  <c r="E47" i="280"/>
  <c r="I47" s="1"/>
  <c r="D47"/>
  <c r="D49" i="279"/>
  <c r="E49"/>
  <c r="I49" s="1"/>
  <c r="J40" i="277"/>
  <c r="C41"/>
  <c r="F40"/>
  <c r="J39" i="273"/>
  <c r="C128" i="262"/>
  <c r="D128"/>
  <c r="H128" s="1"/>
  <c r="F39" i="273"/>
  <c r="C40"/>
  <c r="J49" i="281" l="1"/>
  <c r="C50"/>
  <c r="F49"/>
  <c r="H47" i="280"/>
  <c r="C49" s="1"/>
  <c r="F47"/>
  <c r="J47"/>
  <c r="F49" i="279"/>
  <c r="C50"/>
  <c r="E41" i="277"/>
  <c r="I41" s="1"/>
  <c r="D41"/>
  <c r="I128" i="262"/>
  <c r="B129"/>
  <c r="E128"/>
  <c r="D40" i="273"/>
  <c r="E40"/>
  <c r="I40" s="1"/>
  <c r="E50" i="281" l="1"/>
  <c r="I50" s="1"/>
  <c r="D50"/>
  <c r="E49" i="280"/>
  <c r="I49" s="1"/>
  <c r="D49"/>
  <c r="D50" i="279"/>
  <c r="E50"/>
  <c r="I50" s="1"/>
  <c r="J41" i="277"/>
  <c r="C42"/>
  <c r="F41"/>
  <c r="C129" i="262"/>
  <c r="D129"/>
  <c r="H129" s="1"/>
  <c r="J40" i="273"/>
  <c r="F40"/>
  <c r="C41"/>
  <c r="C51" i="281" l="1"/>
  <c r="F50"/>
  <c r="J50"/>
  <c r="J49" i="280"/>
  <c r="C50"/>
  <c r="F49"/>
  <c r="F50" i="279"/>
  <c r="C51"/>
  <c r="D42" i="277"/>
  <c r="E42"/>
  <c r="I42" s="1"/>
  <c r="B130" i="262"/>
  <c r="E129"/>
  <c r="I129"/>
  <c r="E41" i="273"/>
  <c r="I41" s="1"/>
  <c r="D41"/>
  <c r="D51" i="281" l="1"/>
  <c r="E51"/>
  <c r="I51" s="1"/>
  <c r="D50" i="280"/>
  <c r="E50"/>
  <c r="I50" s="1"/>
  <c r="D51" i="279"/>
  <c r="E51"/>
  <c r="I51" s="1"/>
  <c r="J42" i="277"/>
  <c r="C44"/>
  <c r="F42"/>
  <c r="C130" i="262"/>
  <c r="D130"/>
  <c r="H130" s="1"/>
  <c r="J41" i="273"/>
  <c r="F41"/>
  <c r="C42"/>
  <c r="J51" i="281" l="1"/>
  <c r="C52"/>
  <c r="F51"/>
  <c r="J50" i="280"/>
  <c r="C51"/>
  <c r="F50"/>
  <c r="F51" i="279"/>
  <c r="C52"/>
  <c r="E44" i="277"/>
  <c r="I44" s="1"/>
  <c r="D44"/>
  <c r="I130" i="262"/>
  <c r="B131"/>
  <c r="E130"/>
  <c r="D42" i="273"/>
  <c r="E42"/>
  <c r="I42" s="1"/>
  <c r="E52" i="281" l="1"/>
  <c r="I52" s="1"/>
  <c r="D52"/>
  <c r="E51" i="280"/>
  <c r="I51" s="1"/>
  <c r="D51"/>
  <c r="D52" i="279"/>
  <c r="E52"/>
  <c r="I52" s="1"/>
  <c r="J44" i="277"/>
  <c r="C45"/>
  <c r="F44"/>
  <c r="D131" i="262"/>
  <c r="H131" s="1"/>
  <c r="C131"/>
  <c r="F42" i="273"/>
  <c r="C44"/>
  <c r="J42"/>
  <c r="C54" i="281" l="1"/>
  <c r="F52"/>
  <c r="J52"/>
  <c r="J51" i="280"/>
  <c r="C52"/>
  <c r="F51"/>
  <c r="F52" i="279"/>
  <c r="C54"/>
  <c r="I131" i="262"/>
  <c r="D45" i="277"/>
  <c r="E45"/>
  <c r="I45" s="1"/>
  <c r="B133" i="262"/>
  <c r="E131"/>
  <c r="D44" i="273"/>
  <c r="E44"/>
  <c r="I44" s="1"/>
  <c r="D54" i="281" l="1"/>
  <c r="E54"/>
  <c r="I54" s="1"/>
  <c r="D52" i="280"/>
  <c r="E52"/>
  <c r="I52" s="1"/>
  <c r="D54" i="279"/>
  <c r="E54"/>
  <c r="I54" s="1"/>
  <c r="J45" i="277"/>
  <c r="C46"/>
  <c r="F45"/>
  <c r="J44" i="273"/>
  <c r="D133" i="262"/>
  <c r="H133" s="1"/>
  <c r="C133"/>
  <c r="F44" i="273"/>
  <c r="C45"/>
  <c r="C55" i="281" l="1"/>
  <c r="F54"/>
  <c r="J54"/>
  <c r="J52" i="280"/>
  <c r="C54"/>
  <c r="F52"/>
  <c r="F54" i="279"/>
  <c r="C55"/>
  <c r="E46" i="277"/>
  <c r="I46" s="1"/>
  <c r="D46"/>
  <c r="I133" i="262"/>
  <c r="B134"/>
  <c r="E133"/>
  <c r="E45" i="273"/>
  <c r="I45" s="1"/>
  <c r="D45"/>
  <c r="E55" i="281" l="1"/>
  <c r="I55" s="1"/>
  <c r="D55"/>
  <c r="E54" i="280"/>
  <c r="I54" s="1"/>
  <c r="D54"/>
  <c r="D55" i="279"/>
  <c r="E55"/>
  <c r="I55" s="1"/>
  <c r="J46" i="277"/>
  <c r="C47"/>
  <c r="F46"/>
  <c r="J45" i="273"/>
  <c r="D134" i="262"/>
  <c r="H134" s="1"/>
  <c r="C134"/>
  <c r="F45" i="273"/>
  <c r="C46"/>
  <c r="C56" i="281" l="1"/>
  <c r="F55"/>
  <c r="J55"/>
  <c r="J54" i="280"/>
  <c r="C55"/>
  <c r="F54"/>
  <c r="F55" i="279"/>
  <c r="C56"/>
  <c r="I134" i="262"/>
  <c r="D47" i="277"/>
  <c r="E47"/>
  <c r="I47" s="1"/>
  <c r="B135" i="262"/>
  <c r="E134"/>
  <c r="D46" i="273"/>
  <c r="E46"/>
  <c r="I46" s="1"/>
  <c r="D56" i="281" l="1"/>
  <c r="E56"/>
  <c r="I56" s="1"/>
  <c r="D55" i="280"/>
  <c r="E55"/>
  <c r="I55" s="1"/>
  <c r="D56" i="279"/>
  <c r="E56"/>
  <c r="I56" s="1"/>
  <c r="J47" i="277"/>
  <c r="F47"/>
  <c r="H47"/>
  <c r="C49" s="1"/>
  <c r="J46" i="273"/>
  <c r="C135" i="262"/>
  <c r="D135"/>
  <c r="H135" s="1"/>
  <c r="F46" i="273"/>
  <c r="C47"/>
  <c r="C57" i="281" l="1"/>
  <c r="F56"/>
  <c r="J56"/>
  <c r="J55" i="280"/>
  <c r="C56"/>
  <c r="F55"/>
  <c r="F56" i="279"/>
  <c r="C57"/>
  <c r="D49" i="277"/>
  <c r="E49"/>
  <c r="I49" s="1"/>
  <c r="B136" i="262"/>
  <c r="E135"/>
  <c r="I135"/>
  <c r="E47" i="273"/>
  <c r="I47" s="1"/>
  <c r="D47"/>
  <c r="H47" s="1"/>
  <c r="E57" i="281" l="1"/>
  <c r="I57" s="1"/>
  <c r="D57"/>
  <c r="E56" i="280"/>
  <c r="I56" s="1"/>
  <c r="D56"/>
  <c r="D57" i="279"/>
  <c r="E57"/>
  <c r="I57" s="1"/>
  <c r="J49" i="277"/>
  <c r="C50"/>
  <c r="F49"/>
  <c r="J47" i="273"/>
  <c r="D136" i="262"/>
  <c r="H136" s="1"/>
  <c r="C136"/>
  <c r="C49" i="273"/>
  <c r="F47"/>
  <c r="C59" i="281" l="1"/>
  <c r="F57"/>
  <c r="J57"/>
  <c r="C57" i="280"/>
  <c r="F56"/>
  <c r="J56"/>
  <c r="F57" i="279"/>
  <c r="C59"/>
  <c r="I136" i="262"/>
  <c r="E50" i="277"/>
  <c r="I50" s="1"/>
  <c r="D50"/>
  <c r="B138" i="262"/>
  <c r="E136"/>
  <c r="E49" i="273"/>
  <c r="I49" s="1"/>
  <c r="D49"/>
  <c r="D59" i="281" l="1"/>
  <c r="E59"/>
  <c r="I59" s="1"/>
  <c r="D57" i="280"/>
  <c r="E57"/>
  <c r="I57" s="1"/>
  <c r="D59" i="279"/>
  <c r="E59"/>
  <c r="I59" s="1"/>
  <c r="J50" i="277"/>
  <c r="C51"/>
  <c r="F50"/>
  <c r="J49" i="273"/>
  <c r="D138" i="262"/>
  <c r="H138" s="1"/>
  <c r="C138"/>
  <c r="F49" i="273"/>
  <c r="C50"/>
  <c r="J59" i="281" l="1"/>
  <c r="C60"/>
  <c r="F59"/>
  <c r="J57" i="280"/>
  <c r="C59"/>
  <c r="F57"/>
  <c r="F59" i="279"/>
  <c r="C60"/>
  <c r="D51" i="277"/>
  <c r="E51"/>
  <c r="I51" s="1"/>
  <c r="I138" i="262"/>
  <c r="B139"/>
  <c r="E138"/>
  <c r="D50" i="273"/>
  <c r="E50"/>
  <c r="I50" s="1"/>
  <c r="E60" i="281" l="1"/>
  <c r="I60" s="1"/>
  <c r="D60"/>
  <c r="E59" i="280"/>
  <c r="I59" s="1"/>
  <c r="D59"/>
  <c r="D60" i="279"/>
  <c r="E60"/>
  <c r="I60" s="1"/>
  <c r="J51" i="277"/>
  <c r="C52"/>
  <c r="F51"/>
  <c r="J50" i="273"/>
  <c r="D139" i="262"/>
  <c r="H139" s="1"/>
  <c r="C139"/>
  <c r="F50" i="273"/>
  <c r="C51"/>
  <c r="C61" i="281" l="1"/>
  <c r="F60"/>
  <c r="J60"/>
  <c r="J59" i="280"/>
  <c r="C60"/>
  <c r="F59"/>
  <c r="F60" i="279"/>
  <c r="C61"/>
  <c r="E52" i="277"/>
  <c r="I52" s="1"/>
  <c r="D52"/>
  <c r="B140" i="262"/>
  <c r="E139"/>
  <c r="I139"/>
  <c r="E51" i="273"/>
  <c r="I51" s="1"/>
  <c r="D51"/>
  <c r="D61" i="281" l="1"/>
  <c r="E61"/>
  <c r="I61" s="1"/>
  <c r="D60" i="280"/>
  <c r="E60"/>
  <c r="I60" s="1"/>
  <c r="D61" i="279"/>
  <c r="E61"/>
  <c r="I61" s="1"/>
  <c r="J52" i="277"/>
  <c r="C54"/>
  <c r="F52"/>
  <c r="J51" i="273"/>
  <c r="D140" i="262"/>
  <c r="H140" s="1"/>
  <c r="C140"/>
  <c r="F51" i="273"/>
  <c r="C52"/>
  <c r="J61" i="281" l="1"/>
  <c r="C62"/>
  <c r="F61"/>
  <c r="J60" i="280"/>
  <c r="C61"/>
  <c r="F60"/>
  <c r="F61" i="279"/>
  <c r="C62"/>
  <c r="D54" i="277"/>
  <c r="E54"/>
  <c r="I54" s="1"/>
  <c r="I140" i="262"/>
  <c r="B141"/>
  <c r="E140"/>
  <c r="D52" i="273"/>
  <c r="E52"/>
  <c r="I52" s="1"/>
  <c r="E62" i="281" l="1"/>
  <c r="I62" s="1"/>
  <c r="D62"/>
  <c r="E61" i="280"/>
  <c r="I61" s="1"/>
  <c r="D61"/>
  <c r="D62" i="279"/>
  <c r="E62"/>
  <c r="I62" s="1"/>
  <c r="J54" i="277"/>
  <c r="C55"/>
  <c r="F54"/>
  <c r="C141" i="262"/>
  <c r="D141"/>
  <c r="H141" s="1"/>
  <c r="F52" i="273"/>
  <c r="C54"/>
  <c r="J52"/>
  <c r="J62" i="281" l="1"/>
  <c r="H62"/>
  <c r="C64" s="1"/>
  <c r="F62"/>
  <c r="J61" i="280"/>
  <c r="C62"/>
  <c r="F61"/>
  <c r="F62" i="279"/>
  <c r="C64"/>
  <c r="E55" i="277"/>
  <c r="I55" s="1"/>
  <c r="D55"/>
  <c r="I141" i="262"/>
  <c r="E141"/>
  <c r="B143"/>
  <c r="D54" i="273"/>
  <c r="E54"/>
  <c r="I54" s="1"/>
  <c r="E64" i="281" l="1"/>
  <c r="I64" s="1"/>
  <c r="D64"/>
  <c r="D62" i="280"/>
  <c r="E62"/>
  <c r="I62" s="1"/>
  <c r="D64" i="279"/>
  <c r="E64"/>
  <c r="I64" s="1"/>
  <c r="J55" i="277"/>
  <c r="C56"/>
  <c r="F55"/>
  <c r="J54" i="273"/>
  <c r="D143" i="262"/>
  <c r="H143" s="1"/>
  <c r="C143"/>
  <c r="F54" i="273"/>
  <c r="C55"/>
  <c r="C65" i="281" l="1"/>
  <c r="F64"/>
  <c r="J64"/>
  <c r="J62" i="280"/>
  <c r="F62"/>
  <c r="H62"/>
  <c r="C64" s="1"/>
  <c r="F64" i="279"/>
  <c r="C65"/>
  <c r="I143" i="262"/>
  <c r="D56" i="277"/>
  <c r="E56"/>
  <c r="I56" s="1"/>
  <c r="B144" i="262"/>
  <c r="E143"/>
  <c r="E55" i="273"/>
  <c r="I55" s="1"/>
  <c r="D55"/>
  <c r="D65" i="281" l="1"/>
  <c r="E65"/>
  <c r="I65" s="1"/>
  <c r="D64" i="280"/>
  <c r="E64"/>
  <c r="I64" s="1"/>
  <c r="D65" i="279"/>
  <c r="E65"/>
  <c r="I65" s="1"/>
  <c r="J56" i="277"/>
  <c r="C57"/>
  <c r="F56"/>
  <c r="C144" i="262"/>
  <c r="D144"/>
  <c r="H144" s="1"/>
  <c r="J55" i="273"/>
  <c r="F55"/>
  <c r="C56"/>
  <c r="C66" i="281" l="1"/>
  <c r="F65"/>
  <c r="J65"/>
  <c r="J64" i="280"/>
  <c r="C65"/>
  <c r="F64"/>
  <c r="F65" i="279"/>
  <c r="C66"/>
  <c r="E57" i="277"/>
  <c r="I57" s="1"/>
  <c r="D57"/>
  <c r="E144" i="262"/>
  <c r="B145"/>
  <c r="I144"/>
  <c r="D56" i="273"/>
  <c r="E56"/>
  <c r="I56" s="1"/>
  <c r="E66" i="281" l="1"/>
  <c r="I66" s="1"/>
  <c r="D66"/>
  <c r="E65" i="280"/>
  <c r="I65" s="1"/>
  <c r="D65"/>
  <c r="D66" i="279"/>
  <c r="E66"/>
  <c r="I66" s="1"/>
  <c r="J57" i="277"/>
  <c r="C59"/>
  <c r="F57"/>
  <c r="J56" i="273"/>
  <c r="D145" i="262"/>
  <c r="H145" s="1"/>
  <c r="C145"/>
  <c r="F56" i="273"/>
  <c r="C57"/>
  <c r="C67" i="281" l="1"/>
  <c r="F66"/>
  <c r="J66"/>
  <c r="I145" i="262"/>
  <c r="J65" i="280"/>
  <c r="C66"/>
  <c r="F65"/>
  <c r="F66" i="279"/>
  <c r="C67"/>
  <c r="D59" i="277"/>
  <c r="E59"/>
  <c r="I59" s="1"/>
  <c r="E145" i="262"/>
  <c r="B146"/>
  <c r="E57" i="273"/>
  <c r="I57" s="1"/>
  <c r="D57"/>
  <c r="D67" i="281" l="1"/>
  <c r="E67"/>
  <c r="I67" s="1"/>
  <c r="D66" i="280"/>
  <c r="E66"/>
  <c r="I66" s="1"/>
  <c r="D67" i="279"/>
  <c r="E67"/>
  <c r="I67" s="1"/>
  <c r="J59" i="277"/>
  <c r="C60"/>
  <c r="F59"/>
  <c r="J57" i="273"/>
  <c r="D146" i="262"/>
  <c r="H146" s="1"/>
  <c r="C146"/>
  <c r="C59" i="273"/>
  <c r="F57"/>
  <c r="J67" i="281" l="1"/>
  <c r="C69"/>
  <c r="F67"/>
  <c r="J66" i="280"/>
  <c r="C67"/>
  <c r="F66"/>
  <c r="F67" i="279"/>
  <c r="C69"/>
  <c r="I146" i="262"/>
  <c r="E60" i="277"/>
  <c r="I60" s="1"/>
  <c r="D60"/>
  <c r="B148" i="262"/>
  <c r="E146"/>
  <c r="E59" i="273"/>
  <c r="I59" s="1"/>
  <c r="D59"/>
  <c r="E69" i="281" l="1"/>
  <c r="I69" s="1"/>
  <c r="D69"/>
  <c r="E67" i="280"/>
  <c r="I67" s="1"/>
  <c r="D67"/>
  <c r="D69" i="279"/>
  <c r="E69"/>
  <c r="I69" s="1"/>
  <c r="J60" i="277"/>
  <c r="C61"/>
  <c r="F60"/>
  <c r="J59" i="273"/>
  <c r="D148" i="262"/>
  <c r="H148" s="1"/>
  <c r="C148"/>
  <c r="F59" i="273"/>
  <c r="C60"/>
  <c r="C70" i="281" l="1"/>
  <c r="F69"/>
  <c r="J69"/>
  <c r="J67" i="280"/>
  <c r="C69"/>
  <c r="F67"/>
  <c r="F69" i="279"/>
  <c r="C70"/>
  <c r="I148" i="262"/>
  <c r="D61" i="277"/>
  <c r="E61"/>
  <c r="I61" s="1"/>
  <c r="B149" i="262"/>
  <c r="E148"/>
  <c r="D60" i="273"/>
  <c r="E60"/>
  <c r="I60" s="1"/>
  <c r="D70" i="281" l="1"/>
  <c r="E70"/>
  <c r="I70" s="1"/>
  <c r="D69" i="280"/>
  <c r="E69"/>
  <c r="I69" s="1"/>
  <c r="D70" i="279"/>
  <c r="E70"/>
  <c r="I70" s="1"/>
  <c r="J61" i="277"/>
  <c r="C62"/>
  <c r="F61"/>
  <c r="J60" i="273"/>
  <c r="D149" i="262"/>
  <c r="H149" s="1"/>
  <c r="C149"/>
  <c r="F60" i="273"/>
  <c r="C61"/>
  <c r="C71" i="281" l="1"/>
  <c r="F70"/>
  <c r="J70"/>
  <c r="J69" i="280"/>
  <c r="C70"/>
  <c r="F69"/>
  <c r="F70" i="279"/>
  <c r="C71"/>
  <c r="I149" i="262"/>
  <c r="E62" i="277"/>
  <c r="I62" s="1"/>
  <c r="D62"/>
  <c r="B150" i="262"/>
  <c r="E149"/>
  <c r="E61" i="273"/>
  <c r="I61" s="1"/>
  <c r="D61"/>
  <c r="E71" i="281" l="1"/>
  <c r="I71" s="1"/>
  <c r="D71"/>
  <c r="E70" i="280"/>
  <c r="I70" s="1"/>
  <c r="D70"/>
  <c r="D71" i="279"/>
  <c r="E71"/>
  <c r="I71" s="1"/>
  <c r="H62" i="277"/>
  <c r="C64" s="1"/>
  <c r="F62"/>
  <c r="J62"/>
  <c r="C150" i="262"/>
  <c r="D150"/>
  <c r="H150" s="1"/>
  <c r="J61" i="273"/>
  <c r="F61"/>
  <c r="C62"/>
  <c r="C72" i="281" l="1"/>
  <c r="F71"/>
  <c r="J71"/>
  <c r="J70" i="280"/>
  <c r="C71"/>
  <c r="F70"/>
  <c r="F71" i="279"/>
  <c r="C72"/>
  <c r="E64" i="277"/>
  <c r="I64" s="1"/>
  <c r="D64"/>
  <c r="I150" i="262"/>
  <c r="E150"/>
  <c r="B151"/>
  <c r="D62" i="273"/>
  <c r="H62" s="1"/>
  <c r="E62"/>
  <c r="I62" s="1"/>
  <c r="D72" i="281" l="1"/>
  <c r="E72"/>
  <c r="I72" s="1"/>
  <c r="D71" i="280"/>
  <c r="E71"/>
  <c r="I71" s="1"/>
  <c r="D72" i="279"/>
  <c r="E72"/>
  <c r="I72" s="1"/>
  <c r="J64" i="277"/>
  <c r="C65"/>
  <c r="F64"/>
  <c r="D151" i="262"/>
  <c r="H151" s="1"/>
  <c r="C151"/>
  <c r="F62" i="273"/>
  <c r="C64"/>
  <c r="J62"/>
  <c r="C74" i="281" l="1"/>
  <c r="F72"/>
  <c r="J72"/>
  <c r="I151" i="262"/>
  <c r="J71" i="280"/>
  <c r="C72"/>
  <c r="F71"/>
  <c r="F72" i="279"/>
  <c r="C74"/>
  <c r="D65" i="277"/>
  <c r="E65"/>
  <c r="I65" s="1"/>
  <c r="B153" i="262"/>
  <c r="E151"/>
  <c r="D64" i="273"/>
  <c r="E64"/>
  <c r="I64" s="1"/>
  <c r="E74" i="281" l="1"/>
  <c r="I74" s="1"/>
  <c r="D74"/>
  <c r="E72" i="280"/>
  <c r="I72" s="1"/>
  <c r="D72"/>
  <c r="D74" i="279"/>
  <c r="E74"/>
  <c r="I74" s="1"/>
  <c r="J65" i="277"/>
  <c r="C66"/>
  <c r="F65"/>
  <c r="J64" i="273"/>
  <c r="C153" i="262"/>
  <c r="D153"/>
  <c r="H153" s="1"/>
  <c r="F64" i="273"/>
  <c r="C65"/>
  <c r="C75" i="281" l="1"/>
  <c r="F74"/>
  <c r="J74"/>
  <c r="J72" i="280"/>
  <c r="C74"/>
  <c r="F72"/>
  <c r="F74" i="279"/>
  <c r="C75"/>
  <c r="E66" i="277"/>
  <c r="I66" s="1"/>
  <c r="D66"/>
  <c r="E153" i="262"/>
  <c r="B154"/>
  <c r="I153"/>
  <c r="E65" i="273"/>
  <c r="I65" s="1"/>
  <c r="D65"/>
  <c r="D75" i="281" l="1"/>
  <c r="E75"/>
  <c r="I75" s="1"/>
  <c r="D74" i="280"/>
  <c r="E74"/>
  <c r="I74" s="1"/>
  <c r="D75" i="279"/>
  <c r="E75"/>
  <c r="I75" s="1"/>
  <c r="J66" i="277"/>
  <c r="C67"/>
  <c r="F66"/>
  <c r="J65" i="273"/>
  <c r="D154" i="262"/>
  <c r="H154" s="1"/>
  <c r="C154"/>
  <c r="F65" i="273"/>
  <c r="C66"/>
  <c r="J75" i="281" l="1"/>
  <c r="C76"/>
  <c r="F75"/>
  <c r="J74" i="280"/>
  <c r="C75"/>
  <c r="F74"/>
  <c r="F75" i="279"/>
  <c r="C76"/>
  <c r="I154" i="262"/>
  <c r="D67" i="277"/>
  <c r="E67"/>
  <c r="I67" s="1"/>
  <c r="E154" i="262"/>
  <c r="B155"/>
  <c r="D66" i="273"/>
  <c r="E66"/>
  <c r="I66" s="1"/>
  <c r="E76" i="281" l="1"/>
  <c r="I76" s="1"/>
  <c r="D76"/>
  <c r="E75" i="280"/>
  <c r="I75" s="1"/>
  <c r="D75"/>
  <c r="D76" i="279"/>
  <c r="E76"/>
  <c r="I76" s="1"/>
  <c r="J67" i="277"/>
  <c r="C69"/>
  <c r="F67"/>
  <c r="J66" i="273"/>
  <c r="C155" i="262"/>
  <c r="D155"/>
  <c r="H155" s="1"/>
  <c r="F66" i="273"/>
  <c r="C67"/>
  <c r="C77" i="281" l="1"/>
  <c r="F76"/>
  <c r="J76"/>
  <c r="J75" i="280"/>
  <c r="C76"/>
  <c r="F75"/>
  <c r="F76" i="279"/>
  <c r="C77"/>
  <c r="E69" i="277"/>
  <c r="I69" s="1"/>
  <c r="D69"/>
  <c r="E155" i="262"/>
  <c r="B156"/>
  <c r="I155"/>
  <c r="E67" i="273"/>
  <c r="I67" s="1"/>
  <c r="D67"/>
  <c r="D77" i="281" l="1"/>
  <c r="E77"/>
  <c r="I77" s="1"/>
  <c r="D76" i="280"/>
  <c r="E76"/>
  <c r="I76" s="1"/>
  <c r="D77" i="279"/>
  <c r="E77"/>
  <c r="I77" s="1"/>
  <c r="J67" i="273"/>
  <c r="J69" i="277"/>
  <c r="C70"/>
  <c r="F69"/>
  <c r="D156" i="262"/>
  <c r="H156" s="1"/>
  <c r="C156"/>
  <c r="C69" i="273"/>
  <c r="F67"/>
  <c r="J77" i="281" l="1"/>
  <c r="F77"/>
  <c r="H77"/>
  <c r="C79" s="1"/>
  <c r="J76" i="280"/>
  <c r="C77"/>
  <c r="F76"/>
  <c r="F77" i="279"/>
  <c r="C79"/>
  <c r="D70" i="277"/>
  <c r="E70"/>
  <c r="I70" s="1"/>
  <c r="E156" i="262"/>
  <c r="B158"/>
  <c r="I156"/>
  <c r="E69" i="273"/>
  <c r="I69" s="1"/>
  <c r="D69"/>
  <c r="D79" i="281" l="1"/>
  <c r="E79"/>
  <c r="I79" s="1"/>
  <c r="E77" i="280"/>
  <c r="I77" s="1"/>
  <c r="D77"/>
  <c r="D79" i="279"/>
  <c r="E79"/>
  <c r="I79" s="1"/>
  <c r="J70" i="277"/>
  <c r="C71"/>
  <c r="F70"/>
  <c r="J69" i="273"/>
  <c r="D158" i="262"/>
  <c r="H158" s="1"/>
  <c r="C158"/>
  <c r="F69" i="273"/>
  <c r="C70"/>
  <c r="J79" i="281" l="1"/>
  <c r="C80"/>
  <c r="F79"/>
  <c r="H77" i="280"/>
  <c r="C79" s="1"/>
  <c r="F77"/>
  <c r="J77"/>
  <c r="F79" i="279"/>
  <c r="C80"/>
  <c r="E71" i="277"/>
  <c r="I71" s="1"/>
  <c r="D71"/>
  <c r="I158" i="262"/>
  <c r="B159"/>
  <c r="E158"/>
  <c r="D70" i="273"/>
  <c r="E70"/>
  <c r="I70" s="1"/>
  <c r="E80" i="281" l="1"/>
  <c r="I80" s="1"/>
  <c r="D80"/>
  <c r="E79" i="280"/>
  <c r="I79" s="1"/>
  <c r="D79"/>
  <c r="D80" i="279"/>
  <c r="E80"/>
  <c r="I80" s="1"/>
  <c r="J71" i="277"/>
  <c r="C72"/>
  <c r="F71"/>
  <c r="D159" i="262"/>
  <c r="H159" s="1"/>
  <c r="C159"/>
  <c r="J70" i="273"/>
  <c r="F70"/>
  <c r="C71"/>
  <c r="C81" i="281" l="1"/>
  <c r="F80"/>
  <c r="J80"/>
  <c r="J79" i="280"/>
  <c r="C80"/>
  <c r="F79"/>
  <c r="F80" i="279"/>
  <c r="C81"/>
  <c r="D72" i="277"/>
  <c r="E72"/>
  <c r="I72" s="1"/>
  <c r="E159" i="262"/>
  <c r="B160"/>
  <c r="I159"/>
  <c r="E71" i="273"/>
  <c r="I71" s="1"/>
  <c r="D71"/>
  <c r="D81" i="281" l="1"/>
  <c r="E81"/>
  <c r="I81" s="1"/>
  <c r="D80" i="280"/>
  <c r="E80"/>
  <c r="I80" s="1"/>
  <c r="D81" i="279"/>
  <c r="E81"/>
  <c r="I81" s="1"/>
  <c r="J72" i="277"/>
  <c r="C74"/>
  <c r="F72"/>
  <c r="J71" i="273"/>
  <c r="C160" i="262"/>
  <c r="D160"/>
  <c r="H160" s="1"/>
  <c r="F71" i="273"/>
  <c r="C72"/>
  <c r="J81" i="281" l="1"/>
  <c r="C82"/>
  <c r="F81"/>
  <c r="J80" i="280"/>
  <c r="C81"/>
  <c r="F80"/>
  <c r="F81" i="279"/>
  <c r="C82"/>
  <c r="E74" i="277"/>
  <c r="I74" s="1"/>
  <c r="D74"/>
  <c r="E160" i="262"/>
  <c r="B161"/>
  <c r="I160"/>
  <c r="D72" i="273"/>
  <c r="E72"/>
  <c r="I72" s="1"/>
  <c r="E82" i="281" l="1"/>
  <c r="I82" s="1"/>
  <c r="D82"/>
  <c r="E81" i="280"/>
  <c r="I81" s="1"/>
  <c r="D81"/>
  <c r="D82" i="279"/>
  <c r="E82"/>
  <c r="I82" s="1"/>
  <c r="J74" i="277"/>
  <c r="C75"/>
  <c r="F74"/>
  <c r="C161" i="262"/>
  <c r="D161"/>
  <c r="H161" s="1"/>
  <c r="F72" i="273"/>
  <c r="C74"/>
  <c r="J72"/>
  <c r="C84" i="281" l="1"/>
  <c r="F82"/>
  <c r="J82"/>
  <c r="J81" i="280"/>
  <c r="C82"/>
  <c r="F81"/>
  <c r="F82" i="279"/>
  <c r="C84"/>
  <c r="D75" i="277"/>
  <c r="E75"/>
  <c r="I75" s="1"/>
  <c r="B163" i="262"/>
  <c r="E161"/>
  <c r="I161"/>
  <c r="D74" i="273"/>
  <c r="E74"/>
  <c r="I74" s="1"/>
  <c r="D84" i="281" l="1"/>
  <c r="E84"/>
  <c r="I84" s="1"/>
  <c r="D82" i="280"/>
  <c r="E82"/>
  <c r="I82" s="1"/>
  <c r="D84" i="279"/>
  <c r="E84"/>
  <c r="I84" s="1"/>
  <c r="J75" i="277"/>
  <c r="C76"/>
  <c r="F75"/>
  <c r="C163" i="262"/>
  <c r="D163"/>
  <c r="H163" s="1"/>
  <c r="J74" i="273"/>
  <c r="F74"/>
  <c r="C75"/>
  <c r="C85" i="281" l="1"/>
  <c r="F84"/>
  <c r="J84"/>
  <c r="J82" i="280"/>
  <c r="C84"/>
  <c r="F82"/>
  <c r="F84" i="279"/>
  <c r="C85"/>
  <c r="E76" i="277"/>
  <c r="I76" s="1"/>
  <c r="D76"/>
  <c r="E163" i="262"/>
  <c r="B164"/>
  <c r="I163"/>
  <c r="E75" i="273"/>
  <c r="I75" s="1"/>
  <c r="D75"/>
  <c r="E85" i="281" l="1"/>
  <c r="I85" s="1"/>
  <c r="D85"/>
  <c r="E84" i="280"/>
  <c r="I84" s="1"/>
  <c r="D84"/>
  <c r="D85" i="279"/>
  <c r="E85"/>
  <c r="I85" s="1"/>
  <c r="J76" i="277"/>
  <c r="C77"/>
  <c r="F76"/>
  <c r="J75" i="273"/>
  <c r="D164" i="262"/>
  <c r="H164" s="1"/>
  <c r="C164"/>
  <c r="I164"/>
  <c r="F75" i="273"/>
  <c r="C76"/>
  <c r="C86" i="281" l="1"/>
  <c r="F85"/>
  <c r="J85"/>
  <c r="J84" i="280"/>
  <c r="C85"/>
  <c r="F84"/>
  <c r="F85" i="279"/>
  <c r="C86"/>
  <c r="D77" i="277"/>
  <c r="E77"/>
  <c r="I77" s="1"/>
  <c r="E164" i="262"/>
  <c r="B165"/>
  <c r="D76" i="273"/>
  <c r="E76"/>
  <c r="I76" s="1"/>
  <c r="D86" i="281" l="1"/>
  <c r="E86"/>
  <c r="I86" s="1"/>
  <c r="D85" i="280"/>
  <c r="E85"/>
  <c r="I85" s="1"/>
  <c r="D86" i="279"/>
  <c r="E86"/>
  <c r="I86" s="1"/>
  <c r="J77" i="277"/>
  <c r="F77"/>
  <c r="H77"/>
  <c r="C79" s="1"/>
  <c r="D165" i="262"/>
  <c r="H165" s="1"/>
  <c r="C165"/>
  <c r="J76" i="273"/>
  <c r="F76"/>
  <c r="C77"/>
  <c r="J86" i="281" l="1"/>
  <c r="C87"/>
  <c r="F86"/>
  <c r="J85" i="280"/>
  <c r="C86"/>
  <c r="F85"/>
  <c r="F86" i="279"/>
  <c r="C87"/>
  <c r="D79" i="277"/>
  <c r="E79"/>
  <c r="I79" s="1"/>
  <c r="I165" i="262"/>
  <c r="E165"/>
  <c r="B166"/>
  <c r="E77" i="273"/>
  <c r="I77" s="1"/>
  <c r="D77"/>
  <c r="H77" s="1"/>
  <c r="E87" i="281" l="1"/>
  <c r="I87" s="1"/>
  <c r="D87"/>
  <c r="E86" i="280"/>
  <c r="I86" s="1"/>
  <c r="D86"/>
  <c r="D87" i="279"/>
  <c r="E87"/>
  <c r="I87" s="1"/>
  <c r="J79" i="277"/>
  <c r="C80"/>
  <c r="F79"/>
  <c r="J77" i="273"/>
  <c r="D166" i="262"/>
  <c r="H166" s="1"/>
  <c r="C166"/>
  <c r="I166"/>
  <c r="C79" i="273"/>
  <c r="F77"/>
  <c r="C89" i="281" l="1"/>
  <c r="F87"/>
  <c r="J87"/>
  <c r="J86" i="280"/>
  <c r="C87"/>
  <c r="F86"/>
  <c r="F87" i="279"/>
  <c r="C89"/>
  <c r="E80" i="277"/>
  <c r="I80" s="1"/>
  <c r="D80"/>
  <c r="B168" i="262"/>
  <c r="E166"/>
  <c r="E79" i="273"/>
  <c r="I79" s="1"/>
  <c r="D79"/>
  <c r="D89" i="281" l="1"/>
  <c r="E89"/>
  <c r="I89" s="1"/>
  <c r="D87" i="280"/>
  <c r="E87"/>
  <c r="I87" s="1"/>
  <c r="D89" i="279"/>
  <c r="E89"/>
  <c r="I89" s="1"/>
  <c r="J80" i="277"/>
  <c r="C81"/>
  <c r="F80"/>
  <c r="C168" i="262"/>
  <c r="D168"/>
  <c r="H168" s="1"/>
  <c r="J79" i="273"/>
  <c r="F79"/>
  <c r="C80"/>
  <c r="J89" i="281" l="1"/>
  <c r="C90"/>
  <c r="F89"/>
  <c r="J87" i="280"/>
  <c r="C89"/>
  <c r="F87"/>
  <c r="F89" i="279"/>
  <c r="C90"/>
  <c r="D81" i="277"/>
  <c r="E81"/>
  <c r="I81" s="1"/>
  <c r="B169" i="262"/>
  <c r="E168"/>
  <c r="I168"/>
  <c r="D80" i="273"/>
  <c r="E80"/>
  <c r="I80" s="1"/>
  <c r="E90" i="281" l="1"/>
  <c r="I90" s="1"/>
  <c r="D90"/>
  <c r="E89" i="280"/>
  <c r="I89" s="1"/>
  <c r="D89"/>
  <c r="D90" i="279"/>
  <c r="E90"/>
  <c r="I90" s="1"/>
  <c r="J81" i="277"/>
  <c r="C82"/>
  <c r="F81"/>
  <c r="D169" i="262"/>
  <c r="H169" s="1"/>
  <c r="C169"/>
  <c r="F80" i="273"/>
  <c r="C81"/>
  <c r="J80"/>
  <c r="C91" i="281" l="1"/>
  <c r="F90"/>
  <c r="J90"/>
  <c r="J89" i="280"/>
  <c r="C90"/>
  <c r="F89"/>
  <c r="F90" i="279"/>
  <c r="C91"/>
  <c r="E82" i="277"/>
  <c r="I82" s="1"/>
  <c r="D82"/>
  <c r="E169" i="262"/>
  <c r="B170"/>
  <c r="I169"/>
  <c r="E81" i="273"/>
  <c r="I81" s="1"/>
  <c r="D81"/>
  <c r="D91" i="281" l="1"/>
  <c r="E91"/>
  <c r="I91" s="1"/>
  <c r="D90" i="280"/>
  <c r="E90"/>
  <c r="I90" s="1"/>
  <c r="D91" i="279"/>
  <c r="E91"/>
  <c r="I91" s="1"/>
  <c r="J82" i="277"/>
  <c r="C84"/>
  <c r="F82"/>
  <c r="D170" i="262"/>
  <c r="H170" s="1"/>
  <c r="C170"/>
  <c r="F81" i="273"/>
  <c r="C82"/>
  <c r="J81"/>
  <c r="J91" i="281" l="1"/>
  <c r="C92"/>
  <c r="F91"/>
  <c r="I170" i="262"/>
  <c r="C91" i="280"/>
  <c r="F90"/>
  <c r="J90"/>
  <c r="F91" i="279"/>
  <c r="C92"/>
  <c r="D84" i="277"/>
  <c r="E84"/>
  <c r="I84" s="1"/>
  <c r="B171" i="262"/>
  <c r="E170"/>
  <c r="D82" i="273"/>
  <c r="E82"/>
  <c r="I82" s="1"/>
  <c r="E92" i="281" l="1"/>
  <c r="I92" s="1"/>
  <c r="D92"/>
  <c r="E91" i="280"/>
  <c r="I91" s="1"/>
  <c r="D91"/>
  <c r="D92" i="279"/>
  <c r="E92"/>
  <c r="I92" s="1"/>
  <c r="J84" i="277"/>
  <c r="C85"/>
  <c r="F84"/>
  <c r="J82" i="273"/>
  <c r="D171" i="262"/>
  <c r="H171" s="1"/>
  <c r="C171"/>
  <c r="F82" i="273"/>
  <c r="C84"/>
  <c r="I171" i="262" l="1"/>
  <c r="H92" i="281"/>
  <c r="C94" s="1"/>
  <c r="F92"/>
  <c r="J92"/>
  <c r="C92" i="280"/>
  <c r="F91"/>
  <c r="J91"/>
  <c r="F92" i="279"/>
  <c r="C94"/>
  <c r="E85" i="277"/>
  <c r="I85" s="1"/>
  <c r="D85"/>
  <c r="E171" i="262"/>
  <c r="B173"/>
  <c r="D84" i="273"/>
  <c r="E84"/>
  <c r="I84" s="1"/>
  <c r="E94" i="281" l="1"/>
  <c r="I94" s="1"/>
  <c r="D94"/>
  <c r="D92" i="280"/>
  <c r="E92"/>
  <c r="I92" s="1"/>
  <c r="D94" i="279"/>
  <c r="E94"/>
  <c r="I94" s="1"/>
  <c r="J85" i="277"/>
  <c r="C86"/>
  <c r="F85"/>
  <c r="D173" i="262"/>
  <c r="H173" s="1"/>
  <c r="C173"/>
  <c r="F84" i="273"/>
  <c r="C85"/>
  <c r="J84"/>
  <c r="C95" i="281" l="1"/>
  <c r="F94"/>
  <c r="J94"/>
  <c r="F92" i="280"/>
  <c r="H92"/>
  <c r="C94" s="1"/>
  <c r="J92"/>
  <c r="F94" i="279"/>
  <c r="C95"/>
  <c r="D86" i="277"/>
  <c r="E86"/>
  <c r="I86" s="1"/>
  <c r="I173" i="262"/>
  <c r="E173"/>
  <c r="B174"/>
  <c r="E85" i="273"/>
  <c r="I85" s="1"/>
  <c r="D85"/>
  <c r="D95" i="281" l="1"/>
  <c r="E95"/>
  <c r="I95" s="1"/>
  <c r="D94" i="280"/>
  <c r="E94"/>
  <c r="I94" s="1"/>
  <c r="D95" i="279"/>
  <c r="E95"/>
  <c r="I95" s="1"/>
  <c r="J86" i="277"/>
  <c r="C87"/>
  <c r="F86"/>
  <c r="C174" i="262"/>
  <c r="D174"/>
  <c r="H174" s="1"/>
  <c r="F85" i="273"/>
  <c r="C86"/>
  <c r="J85"/>
  <c r="C96" i="281" l="1"/>
  <c r="F95"/>
  <c r="J95"/>
  <c r="C95" i="280"/>
  <c r="F94"/>
  <c r="J94"/>
  <c r="F95" i="279"/>
  <c r="C96"/>
  <c r="E87" i="277"/>
  <c r="I87" s="1"/>
  <c r="D87"/>
  <c r="E174" i="262"/>
  <c r="B175"/>
  <c r="I174"/>
  <c r="D86" i="273"/>
  <c r="E86"/>
  <c r="I86" s="1"/>
  <c r="E96" i="281" l="1"/>
  <c r="I96" s="1"/>
  <c r="D96"/>
  <c r="E95" i="280"/>
  <c r="I95" s="1"/>
  <c r="D95"/>
  <c r="D96" i="279"/>
  <c r="E96"/>
  <c r="I96" s="1"/>
  <c r="J87" i="277"/>
  <c r="C89"/>
  <c r="F87"/>
  <c r="D175" i="262"/>
  <c r="H175" s="1"/>
  <c r="C175"/>
  <c r="F86" i="273"/>
  <c r="C87"/>
  <c r="J86"/>
  <c r="C97" i="281" l="1"/>
  <c r="F96"/>
  <c r="J96"/>
  <c r="I175" i="262"/>
  <c r="C96" i="280"/>
  <c r="F95"/>
  <c r="J95"/>
  <c r="F96" i="279"/>
  <c r="C97"/>
  <c r="E89" i="277"/>
  <c r="I89" s="1"/>
  <c r="D89"/>
  <c r="B176" i="262"/>
  <c r="E175"/>
  <c r="E87" i="273"/>
  <c r="I87" s="1"/>
  <c r="D87"/>
  <c r="D97" i="281" l="1"/>
  <c r="E97"/>
  <c r="I97" s="1"/>
  <c r="D96" i="280"/>
  <c r="E96"/>
  <c r="I96" s="1"/>
  <c r="D97" i="279"/>
  <c r="E97"/>
  <c r="I97" s="1"/>
  <c r="J89" i="277"/>
  <c r="C90"/>
  <c r="F89"/>
  <c r="J87" i="273"/>
  <c r="D176" i="262"/>
  <c r="H176" s="1"/>
  <c r="C176"/>
  <c r="C89" i="273"/>
  <c r="F87"/>
  <c r="J97" i="281" l="1"/>
  <c r="C99"/>
  <c r="F97"/>
  <c r="C97" i="280"/>
  <c r="F96"/>
  <c r="J96"/>
  <c r="F97" i="279"/>
  <c r="C99"/>
  <c r="D90" i="277"/>
  <c r="E90"/>
  <c r="I90" s="1"/>
  <c r="B178" i="262"/>
  <c r="E176"/>
  <c r="I176"/>
  <c r="E89" i="273"/>
  <c r="I89" s="1"/>
  <c r="D89"/>
  <c r="E99" i="281" l="1"/>
  <c r="I99" s="1"/>
  <c r="D99"/>
  <c r="E97" i="280"/>
  <c r="I97" s="1"/>
  <c r="D97"/>
  <c r="D99" i="279"/>
  <c r="E99"/>
  <c r="I99" s="1"/>
  <c r="J90" i="277"/>
  <c r="C91"/>
  <c r="F90"/>
  <c r="D178" i="262"/>
  <c r="H178" s="1"/>
  <c r="C178"/>
  <c r="I178"/>
  <c r="F89" i="273"/>
  <c r="C90"/>
  <c r="J89"/>
  <c r="C100" i="281" l="1"/>
  <c r="F99"/>
  <c r="J99"/>
  <c r="C99" i="280"/>
  <c r="F97"/>
  <c r="J97"/>
  <c r="F99" i="279"/>
  <c r="C100"/>
  <c r="E91" i="277"/>
  <c r="I91" s="1"/>
  <c r="D91"/>
  <c r="E178" i="262"/>
  <c r="B179"/>
  <c r="D90" i="273"/>
  <c r="E90"/>
  <c r="I90" s="1"/>
  <c r="D100" i="281" l="1"/>
  <c r="E100"/>
  <c r="I100" s="1"/>
  <c r="D99" i="280"/>
  <c r="E99"/>
  <c r="I99" s="1"/>
  <c r="D100" i="279"/>
  <c r="E100"/>
  <c r="I100" s="1"/>
  <c r="J91" i="277"/>
  <c r="C92"/>
  <c r="F91"/>
  <c r="C179" i="262"/>
  <c r="D179"/>
  <c r="H179" s="1"/>
  <c r="F90" i="273"/>
  <c r="C91"/>
  <c r="J90"/>
  <c r="J100" i="281" l="1"/>
  <c r="C101"/>
  <c r="F100"/>
  <c r="C100" i="280"/>
  <c r="F99"/>
  <c r="J99"/>
  <c r="F100" i="279"/>
  <c r="C101"/>
  <c r="D92" i="277"/>
  <c r="E92"/>
  <c r="I92" s="1"/>
  <c r="B180" i="262"/>
  <c r="E179"/>
  <c r="I179"/>
  <c r="E91" i="273"/>
  <c r="I91" s="1"/>
  <c r="D91"/>
  <c r="E101" i="281" l="1"/>
  <c r="I101" s="1"/>
  <c r="D101"/>
  <c r="E100" i="280"/>
  <c r="I100" s="1"/>
  <c r="D100"/>
  <c r="D101" i="279"/>
  <c r="E101"/>
  <c r="I101" s="1"/>
  <c r="J92" i="277"/>
  <c r="F92"/>
  <c r="H92"/>
  <c r="C94" s="1"/>
  <c r="J91" i="273"/>
  <c r="D180" i="262"/>
  <c r="H180" s="1"/>
  <c r="C180"/>
  <c r="C92" i="273"/>
  <c r="F91"/>
  <c r="C102" i="281" l="1"/>
  <c r="F101"/>
  <c r="J101"/>
  <c r="C101" i="280"/>
  <c r="F100"/>
  <c r="J100"/>
  <c r="F101" i="279"/>
  <c r="C102"/>
  <c r="I180" i="262"/>
  <c r="D94" i="277"/>
  <c r="E94"/>
  <c r="I94" s="1"/>
  <c r="B181" i="262"/>
  <c r="E180"/>
  <c r="D4" i="276"/>
  <c r="H4" s="1"/>
  <c r="E92" i="273"/>
  <c r="I92" s="1"/>
  <c r="D92"/>
  <c r="H92" s="1"/>
  <c r="D102" i="281" l="1"/>
  <c r="E102"/>
  <c r="I102" s="1"/>
  <c r="D101" i="280"/>
  <c r="E101"/>
  <c r="I101" s="1"/>
  <c r="D102" i="279"/>
  <c r="E102"/>
  <c r="I102" s="1"/>
  <c r="J94" i="277"/>
  <c r="C95"/>
  <c r="F94"/>
  <c r="C181" i="262"/>
  <c r="D181"/>
  <c r="H181" s="1"/>
  <c r="J92" i="273"/>
  <c r="E4" i="276"/>
  <c r="C94" i="273"/>
  <c r="F92"/>
  <c r="J102" i="281" l="1"/>
  <c r="C104"/>
  <c r="F102"/>
  <c r="C102" i="280"/>
  <c r="F101"/>
  <c r="J101"/>
  <c r="F102" i="279"/>
  <c r="C104"/>
  <c r="E95" i="277"/>
  <c r="I95" s="1"/>
  <c r="D95"/>
  <c r="E181" i="262"/>
  <c r="B183"/>
  <c r="I181"/>
  <c r="D5" i="276"/>
  <c r="H5" s="1"/>
  <c r="E94" i="273"/>
  <c r="I94" s="1"/>
  <c r="D94"/>
  <c r="E104" i="281" l="1"/>
  <c r="I104" s="1"/>
  <c r="D104"/>
  <c r="E102" i="280"/>
  <c r="I102" s="1"/>
  <c r="D102"/>
  <c r="D104" i="279"/>
  <c r="E104"/>
  <c r="I104" s="1"/>
  <c r="J95" i="277"/>
  <c r="C96"/>
  <c r="F95"/>
  <c r="J94" i="273"/>
  <c r="D183" i="262"/>
  <c r="H183" s="1"/>
  <c r="C183"/>
  <c r="I183"/>
  <c r="B6" i="276"/>
  <c r="C6" s="1"/>
  <c r="E5"/>
  <c r="C95" i="273"/>
  <c r="F94"/>
  <c r="C105" i="281" l="1"/>
  <c r="F104"/>
  <c r="J104"/>
  <c r="C104" i="280"/>
  <c r="F102"/>
  <c r="J102"/>
  <c r="F104" i="279"/>
  <c r="C105"/>
  <c r="D96" i="277"/>
  <c r="E96"/>
  <c r="I96" s="1"/>
  <c r="B184" i="262"/>
  <c r="E183"/>
  <c r="D6" i="276"/>
  <c r="H6" s="1"/>
  <c r="D95" i="273"/>
  <c r="E95"/>
  <c r="I95" s="1"/>
  <c r="D105" i="281" l="1"/>
  <c r="E105"/>
  <c r="I105" s="1"/>
  <c r="D104" i="280"/>
  <c r="E104"/>
  <c r="I104" s="1"/>
  <c r="D105" i="279"/>
  <c r="E105"/>
  <c r="I105" s="1"/>
  <c r="J96" i="277"/>
  <c r="C97"/>
  <c r="F96"/>
  <c r="C184" i="262"/>
  <c r="D184"/>
  <c r="H184" s="1"/>
  <c r="B7" i="276"/>
  <c r="E6"/>
  <c r="C96" i="273"/>
  <c r="F95"/>
  <c r="J95"/>
  <c r="C106" i="281" l="1"/>
  <c r="F105"/>
  <c r="J105"/>
  <c r="C105" i="280"/>
  <c r="F104"/>
  <c r="J104"/>
  <c r="F105" i="279"/>
  <c r="C106"/>
  <c r="E97" i="277"/>
  <c r="I97" s="1"/>
  <c r="D97"/>
  <c r="E184" i="262"/>
  <c r="B185"/>
  <c r="I184"/>
  <c r="D7" i="276"/>
  <c r="H7" s="1"/>
  <c r="E96" i="273"/>
  <c r="I96" s="1"/>
  <c r="D96"/>
  <c r="E106" i="281" l="1"/>
  <c r="I106" s="1"/>
  <c r="D106"/>
  <c r="E105" i="280"/>
  <c r="I105" s="1"/>
  <c r="D105"/>
  <c r="D106" i="279"/>
  <c r="E106"/>
  <c r="I106" s="1"/>
  <c r="J97" i="277"/>
  <c r="C99"/>
  <c r="F97"/>
  <c r="D185" i="262"/>
  <c r="H185" s="1"/>
  <c r="C185"/>
  <c r="I185"/>
  <c r="J96" i="273"/>
  <c r="B9" i="276"/>
  <c r="E7"/>
  <c r="C97" i="273"/>
  <c r="F96"/>
  <c r="J106" i="281" l="1"/>
  <c r="C107"/>
  <c r="F106"/>
  <c r="C106" i="280"/>
  <c r="F105"/>
  <c r="J105"/>
  <c r="F106" i="279"/>
  <c r="C107"/>
  <c r="D99" i="277"/>
  <c r="E99"/>
  <c r="I99" s="1"/>
  <c r="B186" i="262"/>
  <c r="E185"/>
  <c r="D9" i="276"/>
  <c r="H9" s="1"/>
  <c r="D97" i="273"/>
  <c r="E97"/>
  <c r="I97" s="1"/>
  <c r="E107" i="281" l="1"/>
  <c r="I107" s="1"/>
  <c r="D107"/>
  <c r="D106" i="280"/>
  <c r="E106"/>
  <c r="I106" s="1"/>
  <c r="D107" i="279"/>
  <c r="E107"/>
  <c r="I107" s="1"/>
  <c r="J99" i="277"/>
  <c r="C100"/>
  <c r="F99"/>
  <c r="C186" i="262"/>
  <c r="D186"/>
  <c r="H186" s="1"/>
  <c r="J97" i="273"/>
  <c r="B10" i="276"/>
  <c r="E9"/>
  <c r="F97" i="273"/>
  <c r="C99"/>
  <c r="J107" i="281" l="1"/>
  <c r="H107"/>
  <c r="C109" s="1"/>
  <c r="F107"/>
  <c r="C107" i="280"/>
  <c r="F106"/>
  <c r="J106"/>
  <c r="F107" i="279"/>
  <c r="C109"/>
  <c r="E100" i="277"/>
  <c r="I100" s="1"/>
  <c r="D100"/>
  <c r="E186" i="262"/>
  <c r="B188"/>
  <c r="I186"/>
  <c r="D10" i="276"/>
  <c r="H10" s="1"/>
  <c r="D99" i="273"/>
  <c r="E99"/>
  <c r="I99" s="1"/>
  <c r="E109" i="281" l="1"/>
  <c r="I109" s="1"/>
  <c r="D109"/>
  <c r="E107" i="280"/>
  <c r="I107" s="1"/>
  <c r="D107"/>
  <c r="D109" i="279"/>
  <c r="E109"/>
  <c r="I109" s="1"/>
  <c r="J100" i="277"/>
  <c r="C101"/>
  <c r="F100"/>
  <c r="D188" i="262"/>
  <c r="H188" s="1"/>
  <c r="C188"/>
  <c r="B11" i="276"/>
  <c r="E10"/>
  <c r="C100" i="273"/>
  <c r="F99"/>
  <c r="J99"/>
  <c r="C110" i="281" l="1"/>
  <c r="F109"/>
  <c r="J109"/>
  <c r="I188" i="262"/>
  <c r="J107" i="280"/>
  <c r="H107"/>
  <c r="C109" s="1"/>
  <c r="F107"/>
  <c r="F109" i="279"/>
  <c r="C110"/>
  <c r="D101" i="277"/>
  <c r="E101"/>
  <c r="I101" s="1"/>
  <c r="E188" i="262"/>
  <c r="B189"/>
  <c r="D11" i="276"/>
  <c r="H11" s="1"/>
  <c r="E100" i="273"/>
  <c r="I100" s="1"/>
  <c r="D100"/>
  <c r="D110" i="281" l="1"/>
  <c r="E110"/>
  <c r="I110" s="1"/>
  <c r="E109" i="280"/>
  <c r="I109" s="1"/>
  <c r="D109"/>
  <c r="D110" i="279"/>
  <c r="E110"/>
  <c r="I110" s="1"/>
  <c r="J101" i="277"/>
  <c r="C102"/>
  <c r="F101"/>
  <c r="J100" i="273"/>
  <c r="C189" i="262"/>
  <c r="D189"/>
  <c r="H189" s="1"/>
  <c r="B12" i="276"/>
  <c r="E11"/>
  <c r="C101" i="273"/>
  <c r="F100"/>
  <c r="C111" i="281" l="1"/>
  <c r="F110"/>
  <c r="J110"/>
  <c r="J109" i="280"/>
  <c r="C110"/>
  <c r="F109"/>
  <c r="F110" i="279"/>
  <c r="C111"/>
  <c r="E102" i="277"/>
  <c r="I102" s="1"/>
  <c r="D102"/>
  <c r="E189" i="262"/>
  <c r="B190"/>
  <c r="I189"/>
  <c r="D12" i="276"/>
  <c r="H12" s="1"/>
  <c r="D101" i="273"/>
  <c r="E101"/>
  <c r="I101" s="1"/>
  <c r="E111" i="281" l="1"/>
  <c r="I111" s="1"/>
  <c r="D111"/>
  <c r="D110" i="280"/>
  <c r="E110"/>
  <c r="I110" s="1"/>
  <c r="D111" i="279"/>
  <c r="E111"/>
  <c r="I111" s="1"/>
  <c r="J102" i="277"/>
  <c r="C104"/>
  <c r="F102"/>
  <c r="C190" i="262"/>
  <c r="D190"/>
  <c r="H190" s="1"/>
  <c r="J101" i="273"/>
  <c r="B14" i="276"/>
  <c r="E12"/>
  <c r="C102" i="273"/>
  <c r="F101"/>
  <c r="C112" i="281" l="1"/>
  <c r="F111"/>
  <c r="J111"/>
  <c r="C111" i="280"/>
  <c r="F110"/>
  <c r="J110"/>
  <c r="F111" i="279"/>
  <c r="C112"/>
  <c r="D104" i="277"/>
  <c r="E104"/>
  <c r="I104" s="1"/>
  <c r="E190" i="262"/>
  <c r="B191"/>
  <c r="I190"/>
  <c r="D14" i="276"/>
  <c r="H14" s="1"/>
  <c r="D102" i="273"/>
  <c r="E102"/>
  <c r="I102" s="1"/>
  <c r="D112" i="281" l="1"/>
  <c r="E112"/>
  <c r="I112" s="1"/>
  <c r="E111" i="280"/>
  <c r="I111" s="1"/>
  <c r="D111"/>
  <c r="D112" i="279"/>
  <c r="E112"/>
  <c r="I112" s="1"/>
  <c r="J104" i="277"/>
  <c r="C105"/>
  <c r="F104"/>
  <c r="D191" i="262"/>
  <c r="H191" s="1"/>
  <c r="C191"/>
  <c r="B15" i="276"/>
  <c r="E14"/>
  <c r="J102" i="273"/>
  <c r="F102"/>
  <c r="C104"/>
  <c r="J112" i="281" l="1"/>
  <c r="C114"/>
  <c r="F112"/>
  <c r="J111" i="280"/>
  <c r="C112"/>
  <c r="F111"/>
  <c r="F112" i="279"/>
  <c r="C114"/>
  <c r="E105" i="277"/>
  <c r="I105" s="1"/>
  <c r="D105"/>
  <c r="I191" i="262"/>
  <c r="B193"/>
  <c r="E191"/>
  <c r="C15" i="276"/>
  <c r="D15"/>
  <c r="H15" s="1"/>
  <c r="E104" i="273"/>
  <c r="I104" s="1"/>
  <c r="D104"/>
  <c r="E114" i="281" l="1"/>
  <c r="I114" s="1"/>
  <c r="D114"/>
  <c r="D112" i="280"/>
  <c r="E112"/>
  <c r="I112" s="1"/>
  <c r="D114" i="279"/>
  <c r="E114"/>
  <c r="I114" s="1"/>
  <c r="J105" i="277"/>
  <c r="C106"/>
  <c r="F105"/>
  <c r="D193" i="262"/>
  <c r="H193" s="1"/>
  <c r="C193"/>
  <c r="I193"/>
  <c r="J104" i="273"/>
  <c r="B16" i="276"/>
  <c r="E15"/>
  <c r="C105" i="273"/>
  <c r="F104"/>
  <c r="C115" i="281" l="1"/>
  <c r="F114"/>
  <c r="J114"/>
  <c r="C114" i="280"/>
  <c r="F112"/>
  <c r="J112"/>
  <c r="F114" i="279"/>
  <c r="C115"/>
  <c r="D106" i="277"/>
  <c r="E106"/>
  <c r="I106" s="1"/>
  <c r="E193" i="262"/>
  <c r="B194"/>
  <c r="D16" i="276"/>
  <c r="H16" s="1"/>
  <c r="C16"/>
  <c r="D105" i="273"/>
  <c r="E105"/>
  <c r="I105" s="1"/>
  <c r="D115" i="281" l="1"/>
  <c r="E115"/>
  <c r="I115" s="1"/>
  <c r="E114" i="280"/>
  <c r="I114" s="1"/>
  <c r="D114"/>
  <c r="D115" i="279"/>
  <c r="E115"/>
  <c r="I115" s="1"/>
  <c r="J106" i="277"/>
  <c r="C107"/>
  <c r="F106"/>
  <c r="C194" i="262"/>
  <c r="D194"/>
  <c r="H194" s="1"/>
  <c r="J105" i="273"/>
  <c r="B17" i="276"/>
  <c r="E16"/>
  <c r="C106" i="273"/>
  <c r="F105"/>
  <c r="J115" i="281" l="1"/>
  <c r="C116"/>
  <c r="F115"/>
  <c r="J114" i="280"/>
  <c r="C115"/>
  <c r="F114"/>
  <c r="F115" i="279"/>
  <c r="C116"/>
  <c r="E107" i="277"/>
  <c r="I107" s="1"/>
  <c r="D107"/>
  <c r="B195" i="262"/>
  <c r="E194"/>
  <c r="I194"/>
  <c r="C17" i="276"/>
  <c r="D17"/>
  <c r="H17" s="1"/>
  <c r="E106" i="273"/>
  <c r="I106" s="1"/>
  <c r="D106"/>
  <c r="E116" i="281" l="1"/>
  <c r="I116" s="1"/>
  <c r="D116"/>
  <c r="D115" i="280"/>
  <c r="E115"/>
  <c r="I115" s="1"/>
  <c r="D116" i="279"/>
  <c r="E116"/>
  <c r="I116" s="1"/>
  <c r="H107" i="277"/>
  <c r="C109" s="1"/>
  <c r="F107"/>
  <c r="J107"/>
  <c r="J106" i="273"/>
  <c r="D195" i="262"/>
  <c r="H195" s="1"/>
  <c r="C195"/>
  <c r="B19" i="276"/>
  <c r="E17"/>
  <c r="C107" i="273"/>
  <c r="F106"/>
  <c r="C117" i="281" l="1"/>
  <c r="F116"/>
  <c r="J116"/>
  <c r="I195" i="262"/>
  <c r="C116" i="280"/>
  <c r="F115"/>
  <c r="J115"/>
  <c r="F116" i="279"/>
  <c r="C117"/>
  <c r="E109" i="277"/>
  <c r="I109" s="1"/>
  <c r="D109"/>
  <c r="B196" i="262"/>
  <c r="E195"/>
  <c r="D19" i="276"/>
  <c r="H19" s="1"/>
  <c r="C19"/>
  <c r="E107" i="273"/>
  <c r="I107" s="1"/>
  <c r="D107"/>
  <c r="H107" s="1"/>
  <c r="D117" i="281" l="1"/>
  <c r="E117"/>
  <c r="I117" s="1"/>
  <c r="E116" i="280"/>
  <c r="I116" s="1"/>
  <c r="D116"/>
  <c r="D117" i="279"/>
  <c r="E117"/>
  <c r="I117" s="1"/>
  <c r="J109" i="277"/>
  <c r="C110"/>
  <c r="F109"/>
  <c r="D196" i="262"/>
  <c r="H196" s="1"/>
  <c r="C196"/>
  <c r="I196"/>
  <c r="B20" i="276"/>
  <c r="E19"/>
  <c r="F107" i="273"/>
  <c r="C109"/>
  <c r="J107"/>
  <c r="J117" i="281" l="1"/>
  <c r="C119"/>
  <c r="F117"/>
  <c r="J116" i="280"/>
  <c r="C117"/>
  <c r="F116"/>
  <c r="F117" i="279"/>
  <c r="C119"/>
  <c r="D110" i="277"/>
  <c r="E110"/>
  <c r="I110" s="1"/>
  <c r="B198" i="262"/>
  <c r="E196"/>
  <c r="C20" i="276"/>
  <c r="D20"/>
  <c r="H20" s="1"/>
  <c r="E109" i="273"/>
  <c r="I109" s="1"/>
  <c r="D109"/>
  <c r="E119" i="281" l="1"/>
  <c r="I119" s="1"/>
  <c r="D119"/>
  <c r="D117" i="280"/>
  <c r="E117"/>
  <c r="I117" s="1"/>
  <c r="D119" i="279"/>
  <c r="E119"/>
  <c r="I119" s="1"/>
  <c r="J110" i="277"/>
  <c r="C111"/>
  <c r="F110"/>
  <c r="C198" i="262"/>
  <c r="D198"/>
  <c r="H198" s="1"/>
  <c r="J109" i="273"/>
  <c r="B21" i="276"/>
  <c r="E20"/>
  <c r="F109" i="273"/>
  <c r="C110"/>
  <c r="C120" i="281" l="1"/>
  <c r="F119"/>
  <c r="J119"/>
  <c r="C119" i="280"/>
  <c r="F117"/>
  <c r="J117"/>
  <c r="F119" i="279"/>
  <c r="C120"/>
  <c r="E111" i="277"/>
  <c r="I111" s="1"/>
  <c r="D111"/>
  <c r="B199" i="262"/>
  <c r="E198"/>
  <c r="I198"/>
  <c r="D21" i="276"/>
  <c r="H21" s="1"/>
  <c r="C21"/>
  <c r="D110" i="273"/>
  <c r="E110"/>
  <c r="I110" s="1"/>
  <c r="D120" i="281" l="1"/>
  <c r="E120"/>
  <c r="I120" s="1"/>
  <c r="E119" i="280"/>
  <c r="I119" s="1"/>
  <c r="D119"/>
  <c r="D120" i="279"/>
  <c r="E120"/>
  <c r="I120" s="1"/>
  <c r="J111" i="277"/>
  <c r="C112"/>
  <c r="F111"/>
  <c r="D199" i="262"/>
  <c r="H199" s="1"/>
  <c r="C199"/>
  <c r="J110" i="273"/>
  <c r="B22" i="276"/>
  <c r="E21"/>
  <c r="F110" i="273"/>
  <c r="C111"/>
  <c r="I199" i="262" l="1"/>
  <c r="J120" i="281"/>
  <c r="C121"/>
  <c r="F120"/>
  <c r="J119" i="280"/>
  <c r="C120"/>
  <c r="F119"/>
  <c r="F120" i="279"/>
  <c r="C121"/>
  <c r="D112" i="277"/>
  <c r="E112"/>
  <c r="I112" s="1"/>
  <c r="E199" i="262"/>
  <c r="B200"/>
  <c r="C22" i="276"/>
  <c r="D22"/>
  <c r="H22" s="1"/>
  <c r="E111" i="273"/>
  <c r="I111" s="1"/>
  <c r="D111"/>
  <c r="E121" i="281" l="1"/>
  <c r="I121" s="1"/>
  <c r="D121"/>
  <c r="D120" i="280"/>
  <c r="E120"/>
  <c r="I120" s="1"/>
  <c r="D121" i="279"/>
  <c r="E121"/>
  <c r="I121" s="1"/>
  <c r="J112" i="277"/>
  <c r="C114"/>
  <c r="F112"/>
  <c r="C200" i="262"/>
  <c r="D200"/>
  <c r="H200" s="1"/>
  <c r="J111" i="273"/>
  <c r="B24" i="276"/>
  <c r="E22"/>
  <c r="F111" i="273"/>
  <c r="C112"/>
  <c r="C122" i="281" l="1"/>
  <c r="F121"/>
  <c r="J121"/>
  <c r="C121" i="280"/>
  <c r="F120"/>
  <c r="J120"/>
  <c r="F121" i="279"/>
  <c r="C122"/>
  <c r="E114" i="277"/>
  <c r="I114" s="1"/>
  <c r="D114"/>
  <c r="E200" i="262"/>
  <c r="B201"/>
  <c r="I200"/>
  <c r="D24" i="276"/>
  <c r="H24" s="1"/>
  <c r="C24"/>
  <c r="D112" i="273"/>
  <c r="E112"/>
  <c r="I112" s="1"/>
  <c r="D122" i="281" l="1"/>
  <c r="E122"/>
  <c r="I122" s="1"/>
  <c r="E121" i="280"/>
  <c r="I121" s="1"/>
  <c r="D121"/>
  <c r="D122" i="279"/>
  <c r="E122"/>
  <c r="I122" s="1"/>
  <c r="J114" i="277"/>
  <c r="C115"/>
  <c r="F114"/>
  <c r="C201" i="262"/>
  <c r="D201"/>
  <c r="H201" s="1"/>
  <c r="B25" i="276"/>
  <c r="E24"/>
  <c r="F112" i="273"/>
  <c r="C114"/>
  <c r="J112"/>
  <c r="F122" i="281" l="1"/>
  <c r="H122"/>
  <c r="C124" s="1"/>
  <c r="J122"/>
  <c r="J121" i="280"/>
  <c r="C122"/>
  <c r="F121"/>
  <c r="F122" i="279"/>
  <c r="C124"/>
  <c r="D115" i="277"/>
  <c r="E115"/>
  <c r="I115" s="1"/>
  <c r="B203" i="262"/>
  <c r="E201"/>
  <c r="I201"/>
  <c r="C25" i="276"/>
  <c r="D25"/>
  <c r="H25" s="1"/>
  <c r="D114" i="273"/>
  <c r="E114"/>
  <c r="I114" s="1"/>
  <c r="D124" i="281" l="1"/>
  <c r="E124"/>
  <c r="I124" s="1"/>
  <c r="D122" i="280"/>
  <c r="E122"/>
  <c r="I122" s="1"/>
  <c r="D124" i="279"/>
  <c r="E124"/>
  <c r="I124" s="1"/>
  <c r="J115" i="277"/>
  <c r="C116"/>
  <c r="F115"/>
  <c r="C203" i="262"/>
  <c r="D203"/>
  <c r="H203" s="1"/>
  <c r="J114" i="273"/>
  <c r="B26" i="276"/>
  <c r="E25"/>
  <c r="F114" i="273"/>
  <c r="C115"/>
  <c r="J124" i="281" l="1"/>
  <c r="C125"/>
  <c r="F124"/>
  <c r="J122" i="280"/>
  <c r="F122"/>
  <c r="H122"/>
  <c r="C124" s="1"/>
  <c r="F124" i="279"/>
  <c r="C125"/>
  <c r="E116" i="277"/>
  <c r="I116" s="1"/>
  <c r="D116"/>
  <c r="E203" i="262"/>
  <c r="B204"/>
  <c r="I203"/>
  <c r="D26" i="276"/>
  <c r="H26" s="1"/>
  <c r="C26"/>
  <c r="E115" i="273"/>
  <c r="I115" s="1"/>
  <c r="D115"/>
  <c r="E125" i="281" l="1"/>
  <c r="I125" s="1"/>
  <c r="D125"/>
  <c r="D124" i="280"/>
  <c r="E124"/>
  <c r="I124" s="1"/>
  <c r="D125" i="279"/>
  <c r="E125"/>
  <c r="I125" s="1"/>
  <c r="J116" i="277"/>
  <c r="C117"/>
  <c r="F116"/>
  <c r="C204" i="262"/>
  <c r="D204"/>
  <c r="H204" s="1"/>
  <c r="J115" i="273"/>
  <c r="B27" i="276"/>
  <c r="E26"/>
  <c r="F115" i="273"/>
  <c r="C116"/>
  <c r="C126" i="281" l="1"/>
  <c r="F125"/>
  <c r="J125"/>
  <c r="C125" i="280"/>
  <c r="F124"/>
  <c r="J124"/>
  <c r="F125" i="279"/>
  <c r="C126"/>
  <c r="D117" i="277"/>
  <c r="E117"/>
  <c r="I117" s="1"/>
  <c r="E204" i="262"/>
  <c r="B205"/>
  <c r="I204"/>
  <c r="C27" i="276"/>
  <c r="D27"/>
  <c r="H27" s="1"/>
  <c r="D116" i="273"/>
  <c r="E116"/>
  <c r="I116" s="1"/>
  <c r="D126" i="281" l="1"/>
  <c r="E126"/>
  <c r="I126" s="1"/>
  <c r="E125" i="280"/>
  <c r="I125" s="1"/>
  <c r="D125"/>
  <c r="D126" i="279"/>
  <c r="E126"/>
  <c r="I126" s="1"/>
  <c r="J117" i="277"/>
  <c r="C119"/>
  <c r="F117"/>
  <c r="C205" i="262"/>
  <c r="D205"/>
  <c r="H205" s="1"/>
  <c r="J116" i="273"/>
  <c r="B29" i="276"/>
  <c r="E27"/>
  <c r="F116" i="273"/>
  <c r="C117"/>
  <c r="J126" i="281" l="1"/>
  <c r="C127"/>
  <c r="F126"/>
  <c r="C126" i="280"/>
  <c r="F125"/>
  <c r="J125"/>
  <c r="F126" i="279"/>
  <c r="C127"/>
  <c r="E119" i="277"/>
  <c r="I119" s="1"/>
  <c r="D119"/>
  <c r="B206" i="262"/>
  <c r="E205"/>
  <c r="I205"/>
  <c r="D29" i="276"/>
  <c r="H29" s="1"/>
  <c r="C29"/>
  <c r="E117" i="273"/>
  <c r="I117" s="1"/>
  <c r="D117"/>
  <c r="E127" i="281" l="1"/>
  <c r="I127" s="1"/>
  <c r="D127"/>
  <c r="D126" i="280"/>
  <c r="E126"/>
  <c r="I126" s="1"/>
  <c r="D127" i="279"/>
  <c r="E127"/>
  <c r="I127" s="1"/>
  <c r="J119" i="277"/>
  <c r="C120"/>
  <c r="F119"/>
  <c r="J117" i="273"/>
  <c r="C206" i="262"/>
  <c r="D206"/>
  <c r="H206" s="1"/>
  <c r="B30" i="276"/>
  <c r="E29"/>
  <c r="C119" i="273"/>
  <c r="F117"/>
  <c r="C129" i="281" l="1"/>
  <c r="F127"/>
  <c r="J127"/>
  <c r="C127" i="280"/>
  <c r="F126"/>
  <c r="J126"/>
  <c r="F127" i="279"/>
  <c r="C129"/>
  <c r="D120" i="277"/>
  <c r="E120"/>
  <c r="I120" s="1"/>
  <c r="B208" i="262"/>
  <c r="E206"/>
  <c r="I206"/>
  <c r="C30" i="276"/>
  <c r="D30"/>
  <c r="H30" s="1"/>
  <c r="E119" i="273"/>
  <c r="I119" s="1"/>
  <c r="D119"/>
  <c r="D129" i="281" l="1"/>
  <c r="E129"/>
  <c r="I129" s="1"/>
  <c r="E127" i="280"/>
  <c r="I127" s="1"/>
  <c r="D127"/>
  <c r="D129" i="279"/>
  <c r="E129"/>
  <c r="I129" s="1"/>
  <c r="J120" i="277"/>
  <c r="C121"/>
  <c r="F120"/>
  <c r="C208" i="262"/>
  <c r="D208"/>
  <c r="H208" s="1"/>
  <c r="J119" i="273"/>
  <c r="B31" i="276"/>
  <c r="E30"/>
  <c r="F119" i="273"/>
  <c r="C120"/>
  <c r="J129" i="281" l="1"/>
  <c r="C130"/>
  <c r="F129"/>
  <c r="C129" i="280"/>
  <c r="F127"/>
  <c r="J127"/>
  <c r="F129" i="279"/>
  <c r="C130"/>
  <c r="E121" i="277"/>
  <c r="I121" s="1"/>
  <c r="D121"/>
  <c r="E208" i="262"/>
  <c r="B209"/>
  <c r="I208"/>
  <c r="D31" i="276"/>
  <c r="H31" s="1"/>
  <c r="C31"/>
  <c r="D120" i="273"/>
  <c r="E120"/>
  <c r="I120" s="1"/>
  <c r="E130" i="281" l="1"/>
  <c r="I130" s="1"/>
  <c r="D130"/>
  <c r="D129" i="280"/>
  <c r="E129"/>
  <c r="I129" s="1"/>
  <c r="D130" i="279"/>
  <c r="E130"/>
  <c r="I130" s="1"/>
  <c r="J121" i="277"/>
  <c r="C122"/>
  <c r="F121"/>
  <c r="C209" i="262"/>
  <c r="D209"/>
  <c r="H209" s="1"/>
  <c r="J120" i="273"/>
  <c r="B32" i="276"/>
  <c r="E31"/>
  <c r="F120" i="273"/>
  <c r="C121"/>
  <c r="C131" i="281" l="1"/>
  <c r="F130"/>
  <c r="J130"/>
  <c r="C130" i="280"/>
  <c r="F129"/>
  <c r="J129"/>
  <c r="F130" i="279"/>
  <c r="C131"/>
  <c r="D122" i="277"/>
  <c r="E122"/>
  <c r="I122" s="1"/>
  <c r="E209" i="262"/>
  <c r="B210"/>
  <c r="I209"/>
  <c r="C32" i="276"/>
  <c r="D32"/>
  <c r="H32" s="1"/>
  <c r="E121" i="273"/>
  <c r="I121" s="1"/>
  <c r="D121"/>
  <c r="D131" i="281" l="1"/>
  <c r="E131"/>
  <c r="I131" s="1"/>
  <c r="E130" i="280"/>
  <c r="I130" s="1"/>
  <c r="D130"/>
  <c r="D131" i="279"/>
  <c r="E131"/>
  <c r="I131" s="1"/>
  <c r="J122" i="277"/>
  <c r="F122"/>
  <c r="H122"/>
  <c r="C124" s="1"/>
  <c r="D210" i="262"/>
  <c r="H210" s="1"/>
  <c r="C210"/>
  <c r="J121" i="273"/>
  <c r="B34" i="276"/>
  <c r="E32"/>
  <c r="F121" i="273"/>
  <c r="C122"/>
  <c r="J131" i="281" l="1"/>
  <c r="C132"/>
  <c r="F131"/>
  <c r="C131" i="280"/>
  <c r="F130"/>
  <c r="J130"/>
  <c r="F131" i="279"/>
  <c r="C132"/>
  <c r="D124" i="277"/>
  <c r="E124"/>
  <c r="I124" s="1"/>
  <c r="I210" i="262"/>
  <c r="E210"/>
  <c r="B211"/>
  <c r="D34" i="276"/>
  <c r="H34" s="1"/>
  <c r="C34"/>
  <c r="D122" i="273"/>
  <c r="H122" s="1"/>
  <c r="E122"/>
  <c r="I122" s="1"/>
  <c r="E132" i="281" l="1"/>
  <c r="I132" s="1"/>
  <c r="D132"/>
  <c r="D131" i="280"/>
  <c r="E131"/>
  <c r="I131" s="1"/>
  <c r="D132" i="279"/>
  <c r="E132"/>
  <c r="I132" s="1"/>
  <c r="J124" i="277"/>
  <c r="C125"/>
  <c r="F124"/>
  <c r="C211" i="262"/>
  <c r="D211"/>
  <c r="H211" s="1"/>
  <c r="B35" i="276"/>
  <c r="E34"/>
  <c r="F122" i="273"/>
  <c r="C124"/>
  <c r="J122"/>
  <c r="C134" i="281" l="1"/>
  <c r="F132"/>
  <c r="J132"/>
  <c r="C132" i="280"/>
  <c r="F131"/>
  <c r="J131"/>
  <c r="F132" i="279"/>
  <c r="C134"/>
  <c r="E125" i="277"/>
  <c r="I125" s="1"/>
  <c r="D125"/>
  <c r="B213" i="262"/>
  <c r="E211"/>
  <c r="I211"/>
  <c r="C35" i="276"/>
  <c r="D35"/>
  <c r="H35" s="1"/>
  <c r="D124" i="273"/>
  <c r="E124"/>
  <c r="I124" s="1"/>
  <c r="D134" i="281" l="1"/>
  <c r="E134"/>
  <c r="I134" s="1"/>
  <c r="E132" i="280"/>
  <c r="I132" s="1"/>
  <c r="D132"/>
  <c r="D134" i="279"/>
  <c r="E134"/>
  <c r="I134" s="1"/>
  <c r="J125" i="277"/>
  <c r="C126"/>
  <c r="F125"/>
  <c r="C213" i="262"/>
  <c r="D213"/>
  <c r="H213" s="1"/>
  <c r="J124" i="273"/>
  <c r="B36" i="276"/>
  <c r="E35"/>
  <c r="F124" i="273"/>
  <c r="C125"/>
  <c r="C135" i="281" l="1"/>
  <c r="F134"/>
  <c r="J134"/>
  <c r="C134" i="280"/>
  <c r="F132"/>
  <c r="J132"/>
  <c r="F134" i="279"/>
  <c r="C135"/>
  <c r="D126" i="277"/>
  <c r="E126"/>
  <c r="I126" s="1"/>
  <c r="B214" i="262"/>
  <c r="E213"/>
  <c r="I213"/>
  <c r="D36" i="276"/>
  <c r="H36" s="1"/>
  <c r="C36"/>
  <c r="E125" i="273"/>
  <c r="I125" s="1"/>
  <c r="D125"/>
  <c r="E135" i="281" l="1"/>
  <c r="I135" s="1"/>
  <c r="D135"/>
  <c r="D134" i="280"/>
  <c r="E134"/>
  <c r="I134" s="1"/>
  <c r="D135" i="279"/>
  <c r="E135"/>
  <c r="I135" s="1"/>
  <c r="J125" i="273"/>
  <c r="J126" i="277"/>
  <c r="C127"/>
  <c r="F126"/>
  <c r="C214" i="262"/>
  <c r="D214"/>
  <c r="H214" s="1"/>
  <c r="B37" i="276"/>
  <c r="E36"/>
  <c r="C126" i="273"/>
  <c r="F125"/>
  <c r="C136" i="281" l="1"/>
  <c r="F135"/>
  <c r="J135"/>
  <c r="C135" i="280"/>
  <c r="F134"/>
  <c r="J134"/>
  <c r="F135" i="279"/>
  <c r="C136"/>
  <c r="E127" i="277"/>
  <c r="I127" s="1"/>
  <c r="D127"/>
  <c r="E214" i="262"/>
  <c r="B215"/>
  <c r="I214"/>
  <c r="C37" i="276"/>
  <c r="D37"/>
  <c r="H37" s="1"/>
  <c r="E126" i="273"/>
  <c r="I126" s="1"/>
  <c r="D126"/>
  <c r="D136" i="281" l="1"/>
  <c r="E136"/>
  <c r="I136" s="1"/>
  <c r="E135" i="280"/>
  <c r="I135" s="1"/>
  <c r="D135"/>
  <c r="D136" i="279"/>
  <c r="E136"/>
  <c r="I136" s="1"/>
  <c r="J126" i="273"/>
  <c r="J127" i="277"/>
  <c r="C129"/>
  <c r="F127"/>
  <c r="D215" i="262"/>
  <c r="H215" s="1"/>
  <c r="C215"/>
  <c r="B39" i="276"/>
  <c r="E37"/>
  <c r="C127" i="273"/>
  <c r="F126"/>
  <c r="J136" i="281" l="1"/>
  <c r="C137"/>
  <c r="F136"/>
  <c r="C136" i="280"/>
  <c r="F135"/>
  <c r="J135"/>
  <c r="F136" i="279"/>
  <c r="C137"/>
  <c r="I215" i="262"/>
  <c r="D129" i="277"/>
  <c r="E129"/>
  <c r="I129" s="1"/>
  <c r="B216" i="262"/>
  <c r="E215"/>
  <c r="D39" i="276"/>
  <c r="H39" s="1"/>
  <c r="C39"/>
  <c r="D127" i="273"/>
  <c r="E127"/>
  <c r="I127" s="1"/>
  <c r="E137" i="281" l="1"/>
  <c r="I137" s="1"/>
  <c r="D137"/>
  <c r="D136" i="280"/>
  <c r="E136"/>
  <c r="I136" s="1"/>
  <c r="D137" i="279"/>
  <c r="E137"/>
  <c r="I137" s="1"/>
  <c r="J129" i="277"/>
  <c r="C130"/>
  <c r="F129"/>
  <c r="D216" i="262"/>
  <c r="H216" s="1"/>
  <c r="C216"/>
  <c r="I216"/>
  <c r="J127" i="273"/>
  <c r="B40" i="276"/>
  <c r="E39"/>
  <c r="F127" i="273"/>
  <c r="C129"/>
  <c r="J137" i="281" l="1"/>
  <c r="H137"/>
  <c r="C139" s="1"/>
  <c r="F137"/>
  <c r="C137" i="280"/>
  <c r="F136"/>
  <c r="J136"/>
  <c r="F137" i="279"/>
  <c r="C138"/>
  <c r="E130" i="277"/>
  <c r="I130" s="1"/>
  <c r="D130"/>
  <c r="E216" i="262"/>
  <c r="B218"/>
  <c r="C40" i="276"/>
  <c r="D40"/>
  <c r="H40" s="1"/>
  <c r="D129" i="273"/>
  <c r="E129"/>
  <c r="I129" s="1"/>
  <c r="E139" i="281" l="1"/>
  <c r="I139" s="1"/>
  <c r="D139"/>
  <c r="E137" i="280"/>
  <c r="I137" s="1"/>
  <c r="D137"/>
  <c r="D138" i="279"/>
  <c r="E138"/>
  <c r="I138" s="1"/>
  <c r="J130" i="277"/>
  <c r="C131"/>
  <c r="F130"/>
  <c r="C218" i="262"/>
  <c r="D218"/>
  <c r="H218" s="1"/>
  <c r="J129" i="273"/>
  <c r="B41" i="276"/>
  <c r="E40"/>
  <c r="C130" i="273"/>
  <c r="F129"/>
  <c r="C140" i="281" l="1"/>
  <c r="F139"/>
  <c r="J139"/>
  <c r="J137" i="280"/>
  <c r="H137"/>
  <c r="C139" s="1"/>
  <c r="F137"/>
  <c r="F138" i="279"/>
  <c r="D131" i="277"/>
  <c r="E131"/>
  <c r="I131" s="1"/>
  <c r="E218" i="262"/>
  <c r="B219"/>
  <c r="I218"/>
  <c r="D41" i="276"/>
  <c r="H41" s="1"/>
  <c r="C41"/>
  <c r="E130" i="273"/>
  <c r="I130" s="1"/>
  <c r="D130"/>
  <c r="D140" i="281" l="1"/>
  <c r="E140"/>
  <c r="I140" s="1"/>
  <c r="E139" i="280"/>
  <c r="I139" s="1"/>
  <c r="D139"/>
  <c r="J130" i="273"/>
  <c r="J131" i="277"/>
  <c r="C132"/>
  <c r="F131"/>
  <c r="D219" i="262"/>
  <c r="H219" s="1"/>
  <c r="C219"/>
  <c r="I219"/>
  <c r="B42" i="276"/>
  <c r="E41"/>
  <c r="C131" i="273"/>
  <c r="F130"/>
  <c r="C141" i="281" l="1"/>
  <c r="F140"/>
  <c r="J140"/>
  <c r="J139" i="280"/>
  <c r="C140"/>
  <c r="F139"/>
  <c r="E132" i="277"/>
  <c r="I132" s="1"/>
  <c r="D132"/>
  <c r="B220" i="262"/>
  <c r="E219"/>
  <c r="C42" i="276"/>
  <c r="D42"/>
  <c r="H42" s="1"/>
  <c r="D131" i="273"/>
  <c r="E131"/>
  <c r="I131" s="1"/>
  <c r="E141" i="281" l="1"/>
  <c r="I141" s="1"/>
  <c r="D141"/>
  <c r="D140" i="280"/>
  <c r="E140"/>
  <c r="I140" s="1"/>
  <c r="J132" i="277"/>
  <c r="C134"/>
  <c r="F132"/>
  <c r="D220" i="262"/>
  <c r="H220" s="1"/>
  <c r="C220"/>
  <c r="J131" i="273"/>
  <c r="B44" i="276"/>
  <c r="E42"/>
  <c r="C132" i="273"/>
  <c r="F131"/>
  <c r="C142" i="281" l="1"/>
  <c r="F141"/>
  <c r="J141"/>
  <c r="I220" i="262"/>
  <c r="C141" i="280"/>
  <c r="F140"/>
  <c r="J140"/>
  <c r="D134" i="277"/>
  <c r="E134"/>
  <c r="I134" s="1"/>
  <c r="E220" i="262"/>
  <c r="B221"/>
  <c r="D44" i="276"/>
  <c r="H44" s="1"/>
  <c r="C44"/>
  <c r="E132" i="273"/>
  <c r="I132" s="1"/>
  <c r="D132"/>
  <c r="D142" i="281" l="1"/>
  <c r="E142"/>
  <c r="I142" s="1"/>
  <c r="E141" i="280"/>
  <c r="I141" s="1"/>
  <c r="D141"/>
  <c r="J134" i="277"/>
  <c r="C135"/>
  <c r="F134"/>
  <c r="C221" i="262"/>
  <c r="D221"/>
  <c r="H221" s="1"/>
  <c r="B45" i="276"/>
  <c r="E44"/>
  <c r="F132" i="273"/>
  <c r="C134"/>
  <c r="J132"/>
  <c r="J142" i="281" l="1"/>
  <c r="C144"/>
  <c r="F142"/>
  <c r="J141" i="280"/>
  <c r="C142"/>
  <c r="F141"/>
  <c r="E135" i="277"/>
  <c r="I135" s="1"/>
  <c r="D135"/>
  <c r="E221" i="262"/>
  <c r="B223"/>
  <c r="I221"/>
  <c r="C45" i="276"/>
  <c r="D45"/>
  <c r="H45" s="1"/>
  <c r="E134" i="273"/>
  <c r="I134" s="1"/>
  <c r="D134"/>
  <c r="E144" i="281" l="1"/>
  <c r="I144" s="1"/>
  <c r="D144"/>
  <c r="D142" i="280"/>
  <c r="E142"/>
  <c r="I142" s="1"/>
  <c r="J135" i="277"/>
  <c r="C136"/>
  <c r="F135"/>
  <c r="D223" i="262"/>
  <c r="H223" s="1"/>
  <c r="C223"/>
  <c r="J134" i="273"/>
  <c r="B46" i="276"/>
  <c r="E45"/>
  <c r="C135" i="273"/>
  <c r="F134"/>
  <c r="C145" i="281" l="1"/>
  <c r="F144"/>
  <c r="J144"/>
  <c r="C144" i="280"/>
  <c r="F142"/>
  <c r="J142"/>
  <c r="D136" i="277"/>
  <c r="E136"/>
  <c r="I136" s="1"/>
  <c r="I223" i="262"/>
  <c r="B224"/>
  <c r="E223"/>
  <c r="D46" i="276"/>
  <c r="H46" s="1"/>
  <c r="C46"/>
  <c r="D135" i="273"/>
  <c r="E135"/>
  <c r="I135" s="1"/>
  <c r="D145" i="281" l="1"/>
  <c r="E145"/>
  <c r="I145" s="1"/>
  <c r="E144" i="280"/>
  <c r="I144" s="1"/>
  <c r="D144"/>
  <c r="J136" i="277"/>
  <c r="C137"/>
  <c r="F136"/>
  <c r="D224" i="262"/>
  <c r="H224" s="1"/>
  <c r="C224"/>
  <c r="J135" i="273"/>
  <c r="B47" i="276"/>
  <c r="E46"/>
  <c r="C136" i="273"/>
  <c r="F135"/>
  <c r="J145" i="281" l="1"/>
  <c r="C146"/>
  <c r="F145"/>
  <c r="I224" i="262"/>
  <c r="J144" i="280"/>
  <c r="C145"/>
  <c r="F144"/>
  <c r="E137" i="277"/>
  <c r="I137" s="1"/>
  <c r="D137"/>
  <c r="B225" i="262"/>
  <c r="E224"/>
  <c r="C47" i="276"/>
  <c r="D47"/>
  <c r="H47" s="1"/>
  <c r="E136" i="273"/>
  <c r="I136" s="1"/>
  <c r="D136"/>
  <c r="E146" i="281" l="1"/>
  <c r="I146" s="1"/>
  <c r="D146"/>
  <c r="D145" i="280"/>
  <c r="E145"/>
  <c r="I145" s="1"/>
  <c r="H137" i="277"/>
  <c r="C139" s="1"/>
  <c r="F137"/>
  <c r="J137"/>
  <c r="C225" i="262"/>
  <c r="D225"/>
  <c r="H225" s="1"/>
  <c r="J136" i="273"/>
  <c r="E47" i="276"/>
  <c r="B49"/>
  <c r="C137" i="273"/>
  <c r="F136"/>
  <c r="C147" i="281" l="1"/>
  <c r="F146"/>
  <c r="J146"/>
  <c r="C146" i="280"/>
  <c r="F145"/>
  <c r="J145"/>
  <c r="E139" i="277"/>
  <c r="I139" s="1"/>
  <c r="D139"/>
  <c r="E225" i="262"/>
  <c r="B226"/>
  <c r="I225"/>
  <c r="C49" i="276"/>
  <c r="D49"/>
  <c r="H49" s="1"/>
  <c r="D137" i="273"/>
  <c r="H137" s="1"/>
  <c r="E137"/>
  <c r="I137" s="1"/>
  <c r="D147" i="281" l="1"/>
  <c r="E147"/>
  <c r="I147" s="1"/>
  <c r="E146" i="280"/>
  <c r="I146" s="1"/>
  <c r="D146"/>
  <c r="J139" i="277"/>
  <c r="C140"/>
  <c r="F139"/>
  <c r="C226" i="262"/>
  <c r="D226"/>
  <c r="H226" s="1"/>
  <c r="J137" i="273"/>
  <c r="B50" i="276"/>
  <c r="E49"/>
  <c r="F137" i="273"/>
  <c r="C139"/>
  <c r="C149" i="281" l="1"/>
  <c r="F147"/>
  <c r="J147"/>
  <c r="J146" i="280"/>
  <c r="C147"/>
  <c r="F146"/>
  <c r="D140" i="277"/>
  <c r="E140"/>
  <c r="I140" s="1"/>
  <c r="B227" i="262"/>
  <c r="E226"/>
  <c r="I226"/>
  <c r="D50" i="276"/>
  <c r="H50" s="1"/>
  <c r="C50"/>
  <c r="D139" i="273"/>
  <c r="E139"/>
  <c r="I139" s="1"/>
  <c r="E149" i="281" l="1"/>
  <c r="I149" s="1"/>
  <c r="D149"/>
  <c r="D147" i="280"/>
  <c r="E147"/>
  <c r="I147" s="1"/>
  <c r="J140" i="277"/>
  <c r="C141"/>
  <c r="F140"/>
  <c r="J139" i="273"/>
  <c r="D227" i="262"/>
  <c r="H227" s="1"/>
  <c r="C227"/>
  <c r="I227"/>
  <c r="B51" i="276"/>
  <c r="E50"/>
  <c r="C140" i="273"/>
  <c r="F139"/>
  <c r="C150" i="281" l="1"/>
  <c r="F149"/>
  <c r="J149"/>
  <c r="C149" i="280"/>
  <c r="F147"/>
  <c r="J147"/>
  <c r="E141" i="277"/>
  <c r="I141" s="1"/>
  <c r="D141"/>
  <c r="E227" i="262"/>
  <c r="C51" i="276"/>
  <c r="D51"/>
  <c r="H51" s="1"/>
  <c r="E140" i="273"/>
  <c r="I140" s="1"/>
  <c r="D140"/>
  <c r="D150" i="281" l="1"/>
  <c r="E150"/>
  <c r="I150" s="1"/>
  <c r="E149" i="280"/>
  <c r="I149" s="1"/>
  <c r="D149"/>
  <c r="J141" i="277"/>
  <c r="C142"/>
  <c r="F141"/>
  <c r="J140" i="273"/>
  <c r="B52" i="276"/>
  <c r="E51"/>
  <c r="C141" i="273"/>
  <c r="F140"/>
  <c r="J150" i="281" l="1"/>
  <c r="C151"/>
  <c r="F150"/>
  <c r="J149" i="280"/>
  <c r="C150"/>
  <c r="F149"/>
  <c r="D142" i="277"/>
  <c r="E142"/>
  <c r="I142" s="1"/>
  <c r="D52" i="276"/>
  <c r="H52" s="1"/>
  <c r="C52"/>
  <c r="D141" i="273"/>
  <c r="E141"/>
  <c r="I141" s="1"/>
  <c r="E151" i="281" l="1"/>
  <c r="I151" s="1"/>
  <c r="D151"/>
  <c r="D150" i="280"/>
  <c r="E150"/>
  <c r="I150" s="1"/>
  <c r="J142" i="277"/>
  <c r="C144"/>
  <c r="F142"/>
  <c r="J141" i="273"/>
  <c r="B54" i="276"/>
  <c r="E52"/>
  <c r="C142" i="273"/>
  <c r="F141"/>
  <c r="C152" i="281" l="1"/>
  <c r="F151"/>
  <c r="J151"/>
  <c r="C151" i="280"/>
  <c r="F150"/>
  <c r="J150"/>
  <c r="E144" i="277"/>
  <c r="I144" s="1"/>
  <c r="D144"/>
  <c r="C54" i="276"/>
  <c r="D54"/>
  <c r="H54" s="1"/>
  <c r="E142" i="273"/>
  <c r="I142" s="1"/>
  <c r="D142"/>
  <c r="D152" i="281" l="1"/>
  <c r="E152"/>
  <c r="I152" s="1"/>
  <c r="E151" i="280"/>
  <c r="I151" s="1"/>
  <c r="D151"/>
  <c r="J144" i="277"/>
  <c r="C145"/>
  <c r="F144"/>
  <c r="B55" i="276"/>
  <c r="E54"/>
  <c r="F142" i="273"/>
  <c r="C144"/>
  <c r="J142"/>
  <c r="F152" i="281" l="1"/>
  <c r="H152"/>
  <c r="C154" s="1"/>
  <c r="J152"/>
  <c r="J151" i="280"/>
  <c r="C152"/>
  <c r="F151"/>
  <c r="D145" i="277"/>
  <c r="E145"/>
  <c r="I145" s="1"/>
  <c r="C55" i="276"/>
  <c r="D55"/>
  <c r="H55" s="1"/>
  <c r="E144" i="273"/>
  <c r="I144" s="1"/>
  <c r="D144"/>
  <c r="D154" i="281" l="1"/>
  <c r="E154"/>
  <c r="I154" s="1"/>
  <c r="D152" i="280"/>
  <c r="E152"/>
  <c r="I152" s="1"/>
  <c r="J145" i="277"/>
  <c r="C146"/>
  <c r="F145"/>
  <c r="J144" i="273"/>
  <c r="B56" i="276"/>
  <c r="E55"/>
  <c r="C145" i="273"/>
  <c r="F144"/>
  <c r="J154" i="281" l="1"/>
  <c r="C155"/>
  <c r="F154"/>
  <c r="J152" i="280"/>
  <c r="F152"/>
  <c r="H152"/>
  <c r="C154" s="1"/>
  <c r="E146" i="277"/>
  <c r="I146" s="1"/>
  <c r="D146"/>
  <c r="D56" i="276"/>
  <c r="H56" s="1"/>
  <c r="C56"/>
  <c r="D145" i="273"/>
  <c r="E145"/>
  <c r="I145" s="1"/>
  <c r="E155" i="281" l="1"/>
  <c r="I155" s="1"/>
  <c r="D155"/>
  <c r="D154" i="280"/>
  <c r="E154"/>
  <c r="I154" s="1"/>
  <c r="J146" i="277"/>
  <c r="C147"/>
  <c r="F146"/>
  <c r="J145" i="273"/>
  <c r="B57" i="276"/>
  <c r="E56"/>
  <c r="C146" i="273"/>
  <c r="F145"/>
  <c r="C156" i="281" l="1"/>
  <c r="F155"/>
  <c r="J155"/>
  <c r="C155" i="280"/>
  <c r="F154"/>
  <c r="J154"/>
  <c r="D147" i="277"/>
  <c r="E147"/>
  <c r="I147" s="1"/>
  <c r="C57" i="276"/>
  <c r="D57"/>
  <c r="H57" s="1"/>
  <c r="E146" i="273"/>
  <c r="I146" s="1"/>
  <c r="D146"/>
  <c r="D156" i="281" l="1"/>
  <c r="E156"/>
  <c r="I156" s="1"/>
  <c r="E155" i="280"/>
  <c r="I155" s="1"/>
  <c r="D155"/>
  <c r="J147" i="277"/>
  <c r="C149"/>
  <c r="F147"/>
  <c r="J146" i="273"/>
  <c r="B59" i="276"/>
  <c r="E57"/>
  <c r="C147" i="273"/>
  <c r="F146"/>
  <c r="J156" i="281" l="1"/>
  <c r="C157"/>
  <c r="F156"/>
  <c r="C156" i="280"/>
  <c r="F155"/>
  <c r="J155"/>
  <c r="E149" i="277"/>
  <c r="I149" s="1"/>
  <c r="D149"/>
  <c r="D59" i="276"/>
  <c r="H59" s="1"/>
  <c r="C59"/>
  <c r="D147" i="273"/>
  <c r="E147"/>
  <c r="I147" s="1"/>
  <c r="E157" i="281" l="1"/>
  <c r="I157" s="1"/>
  <c r="D157"/>
  <c r="D156" i="280"/>
  <c r="E156"/>
  <c r="I156" s="1"/>
  <c r="J149" i="277"/>
  <c r="C150"/>
  <c r="F149"/>
  <c r="J147" i="273"/>
  <c r="B60" i="276"/>
  <c r="E59"/>
  <c r="C149" i="273"/>
  <c r="F147"/>
  <c r="C159" i="281" l="1"/>
  <c r="F157"/>
  <c r="J157"/>
  <c r="C157" i="280"/>
  <c r="F156"/>
  <c r="J156"/>
  <c r="D150" i="277"/>
  <c r="E150"/>
  <c r="I150" s="1"/>
  <c r="C60" i="276"/>
  <c r="D60"/>
  <c r="H60" s="1"/>
  <c r="D149" i="273"/>
  <c r="E149"/>
  <c r="I149" s="1"/>
  <c r="D159" i="281" l="1"/>
  <c r="E159"/>
  <c r="I159" s="1"/>
  <c r="E157" i="280"/>
  <c r="I157" s="1"/>
  <c r="D157"/>
  <c r="J150" i="277"/>
  <c r="C151"/>
  <c r="F150"/>
  <c r="J149" i="273"/>
  <c r="B61" i="276"/>
  <c r="E60"/>
  <c r="C150" i="273"/>
  <c r="F149"/>
  <c r="J159" i="281" l="1"/>
  <c r="C160"/>
  <c r="F159"/>
  <c r="C159" i="280"/>
  <c r="F157"/>
  <c r="J157"/>
  <c r="E151" i="277"/>
  <c r="I151" s="1"/>
  <c r="D151"/>
  <c r="D61" i="276"/>
  <c r="H61" s="1"/>
  <c r="C61"/>
  <c r="E150" i="273"/>
  <c r="I150" s="1"/>
  <c r="D150"/>
  <c r="E160" i="281" l="1"/>
  <c r="I160" s="1"/>
  <c r="D160"/>
  <c r="D159" i="280"/>
  <c r="E159"/>
  <c r="I159" s="1"/>
  <c r="J151" i="277"/>
  <c r="C152"/>
  <c r="F151"/>
  <c r="J150" i="273"/>
  <c r="B62" i="276"/>
  <c r="E61"/>
  <c r="C151" i="273"/>
  <c r="F150"/>
  <c r="C161" i="281" l="1"/>
  <c r="F160"/>
  <c r="J160"/>
  <c r="C160" i="280"/>
  <c r="F159"/>
  <c r="J159"/>
  <c r="D152" i="277"/>
  <c r="E152"/>
  <c r="I152" s="1"/>
  <c r="C62" i="276"/>
  <c r="D62"/>
  <c r="H62" s="1"/>
  <c r="D151" i="273"/>
  <c r="E151"/>
  <c r="I151" s="1"/>
  <c r="D161" i="281" l="1"/>
  <c r="E161"/>
  <c r="I161" s="1"/>
  <c r="E160" i="280"/>
  <c r="I160" s="1"/>
  <c r="D160"/>
  <c r="J152" i="277"/>
  <c r="F152"/>
  <c r="H152"/>
  <c r="C154" s="1"/>
  <c r="J151" i="273"/>
  <c r="B64" i="276"/>
  <c r="E62"/>
  <c r="C152" i="273"/>
  <c r="F151"/>
  <c r="C162" i="281" l="1"/>
  <c r="F161"/>
  <c r="J161"/>
  <c r="C161" i="280"/>
  <c r="F160"/>
  <c r="J160"/>
  <c r="D154" i="277"/>
  <c r="E154"/>
  <c r="I154" s="1"/>
  <c r="D64" i="276"/>
  <c r="H64" s="1"/>
  <c r="C64"/>
  <c r="E152" i="273"/>
  <c r="I152" s="1"/>
  <c r="D152"/>
  <c r="H152" s="1"/>
  <c r="E162" i="281" l="1"/>
  <c r="I162" s="1"/>
  <c r="D162"/>
  <c r="D161" i="280"/>
  <c r="E161"/>
  <c r="I161" s="1"/>
  <c r="J154" i="277"/>
  <c r="C155"/>
  <c r="F154"/>
  <c r="B65" i="276"/>
  <c r="E64"/>
  <c r="F152" i="273"/>
  <c r="C154"/>
  <c r="J152"/>
  <c r="C164" i="281" l="1"/>
  <c r="F162"/>
  <c r="J162"/>
  <c r="C162" i="280"/>
  <c r="F161"/>
  <c r="J161"/>
  <c r="E155" i="277"/>
  <c r="I155" s="1"/>
  <c r="D155"/>
  <c r="C65" i="276"/>
  <c r="D65"/>
  <c r="H65" s="1"/>
  <c r="E154" i="273"/>
  <c r="I154" s="1"/>
  <c r="D154"/>
  <c r="D164" i="281" l="1"/>
  <c r="E164"/>
  <c r="I164" s="1"/>
  <c r="E162" i="280"/>
  <c r="I162" s="1"/>
  <c r="D162"/>
  <c r="J155" i="277"/>
  <c r="C156"/>
  <c r="F155"/>
  <c r="J154" i="273"/>
  <c r="B66" i="276"/>
  <c r="E65"/>
  <c r="C155" i="273"/>
  <c r="F154"/>
  <c r="J164" i="281" l="1"/>
  <c r="C165"/>
  <c r="F164"/>
  <c r="C164" i="280"/>
  <c r="F162"/>
  <c r="J162"/>
  <c r="D156" i="277"/>
  <c r="E156"/>
  <c r="I156" s="1"/>
  <c r="D66" i="276"/>
  <c r="H66" s="1"/>
  <c r="C66"/>
  <c r="D155" i="273"/>
  <c r="E155"/>
  <c r="I155" s="1"/>
  <c r="E165" i="281" l="1"/>
  <c r="I165" s="1"/>
  <c r="D165"/>
  <c r="D164" i="280"/>
  <c r="E164"/>
  <c r="I164" s="1"/>
  <c r="J156" i="277"/>
  <c r="C157"/>
  <c r="F156"/>
  <c r="J155" i="273"/>
  <c r="B67" i="276"/>
  <c r="E66"/>
  <c r="C156" i="273"/>
  <c r="F155"/>
  <c r="C166" i="281" l="1"/>
  <c r="F165"/>
  <c r="J165"/>
  <c r="C165" i="280"/>
  <c r="F164"/>
  <c r="J164"/>
  <c r="E157" i="277"/>
  <c r="I157" s="1"/>
  <c r="D157"/>
  <c r="C67" i="276"/>
  <c r="D67"/>
  <c r="H67" s="1"/>
  <c r="E156" i="273"/>
  <c r="I156" s="1"/>
  <c r="D156"/>
  <c r="D166" i="281" l="1"/>
  <c r="E166"/>
  <c r="I166" s="1"/>
  <c r="E165" i="280"/>
  <c r="I165" s="1"/>
  <c r="D165"/>
  <c r="J157" i="277"/>
  <c r="C159"/>
  <c r="F157"/>
  <c r="J156" i="273"/>
  <c r="B69" i="276"/>
  <c r="E67"/>
  <c r="C157" i="273"/>
  <c r="F156"/>
  <c r="J166" i="281" l="1"/>
  <c r="C167"/>
  <c r="F166"/>
  <c r="C166" i="280"/>
  <c r="F165"/>
  <c r="J165"/>
  <c r="D159" i="277"/>
  <c r="E159"/>
  <c r="I159" s="1"/>
  <c r="D69" i="276"/>
  <c r="H69" s="1"/>
  <c r="C69"/>
  <c r="D157" i="273"/>
  <c r="E157"/>
  <c r="I157" s="1"/>
  <c r="E167" i="281" l="1"/>
  <c r="I167" s="1"/>
  <c r="D167"/>
  <c r="D166" i="280"/>
  <c r="E166"/>
  <c r="I166" s="1"/>
  <c r="J159" i="277"/>
  <c r="C160"/>
  <c r="F159"/>
  <c r="J157" i="273"/>
  <c r="B70" i="276"/>
  <c r="E69"/>
  <c r="C159" i="273"/>
  <c r="F157"/>
  <c r="J167" i="281" l="1"/>
  <c r="H167"/>
  <c r="C169" s="1"/>
  <c r="F167"/>
  <c r="C167" i="280"/>
  <c r="F166"/>
  <c r="J166"/>
  <c r="E160" i="277"/>
  <c r="I160" s="1"/>
  <c r="D160"/>
  <c r="C70" i="276"/>
  <c r="D70"/>
  <c r="H70" s="1"/>
  <c r="D159" i="273"/>
  <c r="E159"/>
  <c r="I159" s="1"/>
  <c r="E169" i="281" l="1"/>
  <c r="I169" s="1"/>
  <c r="D169"/>
  <c r="E167" i="280"/>
  <c r="I167" s="1"/>
  <c r="D167"/>
  <c r="J160" i="277"/>
  <c r="C161"/>
  <c r="F160"/>
  <c r="J159" i="273"/>
  <c r="B71" i="276"/>
  <c r="E70"/>
  <c r="C160" i="273"/>
  <c r="F159"/>
  <c r="C170" i="281" l="1"/>
  <c r="F169"/>
  <c r="J169"/>
  <c r="J167" i="280"/>
  <c r="H167"/>
  <c r="C169" s="1"/>
  <c r="F167"/>
  <c r="D161" i="277"/>
  <c r="E161"/>
  <c r="I161" s="1"/>
  <c r="D71" i="276"/>
  <c r="H71" s="1"/>
  <c r="C71"/>
  <c r="E160" i="273"/>
  <c r="I160" s="1"/>
  <c r="D160"/>
  <c r="D170" i="281" l="1"/>
  <c r="E170"/>
  <c r="I170" s="1"/>
  <c r="E169" i="280"/>
  <c r="I169" s="1"/>
  <c r="D169"/>
  <c r="J161" i="277"/>
  <c r="C162"/>
  <c r="F161"/>
  <c r="J160" i="273"/>
  <c r="B72" i="276"/>
  <c r="E71"/>
  <c r="C161" i="273"/>
  <c r="F160"/>
  <c r="J170" i="281" l="1"/>
  <c r="C171"/>
  <c r="F170"/>
  <c r="J169" i="280"/>
  <c r="C170"/>
  <c r="F169"/>
  <c r="E162" i="277"/>
  <c r="I162" s="1"/>
  <c r="D162"/>
  <c r="C72" i="276"/>
  <c r="D72"/>
  <c r="H72" s="1"/>
  <c r="D161" i="273"/>
  <c r="E161"/>
  <c r="I161" s="1"/>
  <c r="E171" i="281" l="1"/>
  <c r="I171" s="1"/>
  <c r="D171"/>
  <c r="D170" i="280"/>
  <c r="E170"/>
  <c r="I170" s="1"/>
  <c r="J162" i="277"/>
  <c r="C164"/>
  <c r="F162"/>
  <c r="J161" i="273"/>
  <c r="B74" i="276"/>
  <c r="E72"/>
  <c r="C162" i="273"/>
  <c r="F161"/>
  <c r="C172" i="281" l="1"/>
  <c r="F171"/>
  <c r="J171"/>
  <c r="C171" i="280"/>
  <c r="F170"/>
  <c r="J170"/>
  <c r="D164" i="277"/>
  <c r="E164"/>
  <c r="I164" s="1"/>
  <c r="D74" i="276"/>
  <c r="H74" s="1"/>
  <c r="C74"/>
  <c r="E162" i="273"/>
  <c r="I162" s="1"/>
  <c r="D162"/>
  <c r="D172" i="281" l="1"/>
  <c r="E172"/>
  <c r="I172" s="1"/>
  <c r="E171" i="280"/>
  <c r="I171" s="1"/>
  <c r="D171"/>
  <c r="J164" i="277"/>
  <c r="C165"/>
  <c r="F164"/>
  <c r="B75" i="276"/>
  <c r="E74"/>
  <c r="F162" i="273"/>
  <c r="C164"/>
  <c r="J162"/>
  <c r="J172" i="281" l="1"/>
  <c r="C174"/>
  <c r="F172"/>
  <c r="J171" i="280"/>
  <c r="C172"/>
  <c r="F171"/>
  <c r="E165" i="277"/>
  <c r="I165" s="1"/>
  <c r="D165"/>
  <c r="C75" i="276"/>
  <c r="D75"/>
  <c r="H75" s="1"/>
  <c r="E164" i="273"/>
  <c r="I164" s="1"/>
  <c r="D164"/>
  <c r="E174" i="281" l="1"/>
  <c r="I174" s="1"/>
  <c r="D174"/>
  <c r="D172" i="280"/>
  <c r="E172"/>
  <c r="I172" s="1"/>
  <c r="J165" i="277"/>
  <c r="C166"/>
  <c r="F165"/>
  <c r="J164" i="273"/>
  <c r="B76" i="276"/>
  <c r="E75"/>
  <c r="C165" i="273"/>
  <c r="F164"/>
  <c r="C175" i="281" l="1"/>
  <c r="F174"/>
  <c r="J174"/>
  <c r="C174" i="280"/>
  <c r="F172"/>
  <c r="J172"/>
  <c r="D166" i="277"/>
  <c r="E166"/>
  <c r="I166" s="1"/>
  <c r="D76" i="276"/>
  <c r="H76" s="1"/>
  <c r="C76"/>
  <c r="D165" i="273"/>
  <c r="E165"/>
  <c r="I165" s="1"/>
  <c r="D175" i="281" l="1"/>
  <c r="E175"/>
  <c r="I175" s="1"/>
  <c r="E174" i="280"/>
  <c r="I174" s="1"/>
  <c r="D174"/>
  <c r="J166" i="277"/>
  <c r="C167"/>
  <c r="F166"/>
  <c r="J165" i="273"/>
  <c r="B77" i="276"/>
  <c r="E76"/>
  <c r="C166" i="273"/>
  <c r="F165"/>
  <c r="J175" i="281" l="1"/>
  <c r="C176"/>
  <c r="F175"/>
  <c r="J174" i="280"/>
  <c r="C175"/>
  <c r="F174"/>
  <c r="E167" i="277"/>
  <c r="I167" s="1"/>
  <c r="D167"/>
  <c r="C77" i="276"/>
  <c r="D77"/>
  <c r="H77" s="1"/>
  <c r="E166" i="273"/>
  <c r="I166" s="1"/>
  <c r="D166"/>
  <c r="E176" i="281" l="1"/>
  <c r="I176" s="1"/>
  <c r="D176"/>
  <c r="D175" i="280"/>
  <c r="E175"/>
  <c r="I175" s="1"/>
  <c r="H167" i="277"/>
  <c r="C169" s="1"/>
  <c r="F167"/>
  <c r="J167"/>
  <c r="J166" i="273"/>
  <c r="B79" i="276"/>
  <c r="E77"/>
  <c r="C167" i="273"/>
  <c r="F166"/>
  <c r="C177" i="281" l="1"/>
  <c r="F176"/>
  <c r="J176"/>
  <c r="C176" i="280"/>
  <c r="F175"/>
  <c r="J175"/>
  <c r="E169" i="277"/>
  <c r="I169" s="1"/>
  <c r="D169"/>
  <c r="D79" i="276"/>
  <c r="H79" s="1"/>
  <c r="C79"/>
  <c r="D167" i="273"/>
  <c r="H167" s="1"/>
  <c r="E167"/>
  <c r="I167" s="1"/>
  <c r="D177" i="281" l="1"/>
  <c r="E177"/>
  <c r="I177" s="1"/>
  <c r="E176" i="280"/>
  <c r="I176" s="1"/>
  <c r="D176"/>
  <c r="J169" i="277"/>
  <c r="C170"/>
  <c r="F169"/>
  <c r="J167" i="273"/>
  <c r="B80" i="276"/>
  <c r="E79"/>
  <c r="C169" i="273"/>
  <c r="F167"/>
  <c r="F177" i="281" l="1"/>
  <c r="H177"/>
  <c r="J177"/>
  <c r="J176" i="280"/>
  <c r="C177"/>
  <c r="F176"/>
  <c r="D170" i="277"/>
  <c r="E170"/>
  <c r="I170" s="1"/>
  <c r="C80" i="276"/>
  <c r="D80"/>
  <c r="H80" s="1"/>
  <c r="D169" i="273"/>
  <c r="E169"/>
  <c r="I169" s="1"/>
  <c r="D177" i="280" l="1"/>
  <c r="E177"/>
  <c r="I177" s="1"/>
  <c r="J170" i="277"/>
  <c r="C171"/>
  <c r="F170"/>
  <c r="J169" i="273"/>
  <c r="B81" i="276"/>
  <c r="E80"/>
  <c r="C170" i="273"/>
  <c r="F169"/>
  <c r="J177" i="280" l="1"/>
  <c r="F177"/>
  <c r="H177"/>
  <c r="E171" i="277"/>
  <c r="I171" s="1"/>
  <c r="D171"/>
  <c r="D81" i="276"/>
  <c r="H81" s="1"/>
  <c r="C81"/>
  <c r="E170" i="273"/>
  <c r="I170" s="1"/>
  <c r="D170"/>
  <c r="J171" i="277" l="1"/>
  <c r="C172"/>
  <c r="F171"/>
  <c r="J170" i="273"/>
  <c r="B82" i="276"/>
  <c r="E81"/>
  <c r="C171" i="273"/>
  <c r="F170"/>
  <c r="D172" i="277" l="1"/>
  <c r="E172"/>
  <c r="I172" s="1"/>
  <c r="C82" i="276"/>
  <c r="D82"/>
  <c r="H82" s="1"/>
  <c r="D171" i="273"/>
  <c r="E171"/>
  <c r="I171" s="1"/>
  <c r="J172" i="277" l="1"/>
  <c r="C174"/>
  <c r="F172"/>
  <c r="J171" i="273"/>
  <c r="B84" i="276"/>
  <c r="E82"/>
  <c r="C172" i="273"/>
  <c r="F171"/>
  <c r="E174" i="277" l="1"/>
  <c r="I174" s="1"/>
  <c r="D174"/>
  <c r="D84" i="276"/>
  <c r="H84" s="1"/>
  <c r="C84"/>
  <c r="E172" i="273"/>
  <c r="I172" s="1"/>
  <c r="D172"/>
  <c r="J174" i="277" l="1"/>
  <c r="C175"/>
  <c r="F174"/>
  <c r="J172" i="273"/>
  <c r="B85" i="276"/>
  <c r="E84"/>
  <c r="F172" i="273"/>
  <c r="C174"/>
  <c r="D175" i="277" l="1"/>
  <c r="E175"/>
  <c r="I175" s="1"/>
  <c r="C85" i="276"/>
  <c r="D85"/>
  <c r="H85" s="1"/>
  <c r="E174" i="273"/>
  <c r="I174" s="1"/>
  <c r="D174"/>
  <c r="J175" i="277" l="1"/>
  <c r="C176"/>
  <c r="F175"/>
  <c r="J174" i="273"/>
  <c r="B86" i="276"/>
  <c r="E85"/>
  <c r="C175" i="273"/>
  <c r="F174"/>
  <c r="E176" i="277" l="1"/>
  <c r="I176" s="1"/>
  <c r="D176"/>
  <c r="D86" i="276"/>
  <c r="H86" s="1"/>
  <c r="C86"/>
  <c r="D175" i="273"/>
  <c r="E175"/>
  <c r="I175" s="1"/>
  <c r="J176" i="277" l="1"/>
  <c r="C177"/>
  <c r="F176"/>
  <c r="J175" i="273"/>
  <c r="B87" i="276"/>
  <c r="E86"/>
  <c r="C176" i="273"/>
  <c r="F175"/>
  <c r="D177" i="277" l="1"/>
  <c r="E177"/>
  <c r="I177" s="1"/>
  <c r="C87" i="276"/>
  <c r="D87"/>
  <c r="H87" s="1"/>
  <c r="E176" i="273"/>
  <c r="I176" s="1"/>
  <c r="D176"/>
  <c r="J177" i="277" l="1"/>
  <c r="F177"/>
  <c r="H177"/>
  <c r="J176" i="273"/>
  <c r="B89" i="276"/>
  <c r="E87"/>
  <c r="C177" i="273"/>
  <c r="F176"/>
  <c r="D89" i="276" l="1"/>
  <c r="H89" s="1"/>
  <c r="C89"/>
  <c r="D177" i="273"/>
  <c r="H177" s="1"/>
  <c r="E177"/>
  <c r="I177" s="1"/>
  <c r="J177" l="1"/>
  <c r="B90" i="276"/>
  <c r="E89"/>
  <c r="F177" i="273"/>
  <c r="C90" i="276" l="1"/>
  <c r="D90"/>
  <c r="H90" s="1"/>
  <c r="B91" l="1"/>
  <c r="E90"/>
  <c r="D91" l="1"/>
  <c r="H91" s="1"/>
  <c r="C91"/>
  <c r="B92" l="1"/>
  <c r="E91"/>
  <c r="C92" l="1"/>
  <c r="D92"/>
  <c r="H92" s="1"/>
  <c r="B94" l="1"/>
  <c r="E92"/>
  <c r="D94" l="1"/>
  <c r="H94" s="1"/>
  <c r="C94"/>
  <c r="B95" l="1"/>
  <c r="E94"/>
  <c r="C95" l="1"/>
  <c r="D95"/>
  <c r="H95" s="1"/>
  <c r="B96" l="1"/>
  <c r="E95"/>
  <c r="D96" l="1"/>
  <c r="H96" s="1"/>
  <c r="C96"/>
  <c r="B97" l="1"/>
  <c r="E96"/>
  <c r="C97" l="1"/>
  <c r="D97"/>
  <c r="H97" s="1"/>
  <c r="B99" l="1"/>
  <c r="E97"/>
  <c r="D99" l="1"/>
  <c r="H99" s="1"/>
  <c r="C99"/>
  <c r="B100" l="1"/>
  <c r="E99"/>
  <c r="C100" l="1"/>
  <c r="D100"/>
  <c r="H100" s="1"/>
  <c r="B101" l="1"/>
  <c r="E100"/>
  <c r="D101" l="1"/>
  <c r="H101" s="1"/>
  <c r="C101"/>
  <c r="B102" l="1"/>
  <c r="E101"/>
  <c r="C102" l="1"/>
  <c r="D102"/>
  <c r="H102" s="1"/>
  <c r="B104" l="1"/>
  <c r="E102"/>
  <c r="D104" l="1"/>
  <c r="H104" s="1"/>
  <c r="C104"/>
  <c r="B105" l="1"/>
  <c r="E104"/>
  <c r="C105" l="1"/>
  <c r="D105"/>
  <c r="H105" s="1"/>
  <c r="B106" l="1"/>
  <c r="E105"/>
  <c r="D106" l="1"/>
  <c r="H106" s="1"/>
  <c r="C106"/>
  <c r="B107" l="1"/>
  <c r="E106"/>
  <c r="C107" l="1"/>
  <c r="D107"/>
  <c r="H107" s="1"/>
  <c r="B109" l="1"/>
  <c r="E107"/>
  <c r="D109" l="1"/>
  <c r="H109" s="1"/>
  <c r="C109"/>
  <c r="B110" l="1"/>
  <c r="E109"/>
  <c r="C110" l="1"/>
  <c r="D110"/>
  <c r="H110" s="1"/>
  <c r="B111" l="1"/>
  <c r="E110"/>
  <c r="D111" l="1"/>
  <c r="H111" s="1"/>
  <c r="C111"/>
  <c r="B112" l="1"/>
  <c r="E111"/>
  <c r="C112" l="1"/>
  <c r="D112"/>
  <c r="H112" s="1"/>
  <c r="B114" l="1"/>
  <c r="E112"/>
  <c r="D114" l="1"/>
  <c r="H114" s="1"/>
  <c r="C114"/>
  <c r="B115" l="1"/>
  <c r="E114"/>
  <c r="C115" l="1"/>
  <c r="D115"/>
  <c r="H115" s="1"/>
  <c r="B116" l="1"/>
  <c r="E115"/>
  <c r="D116" l="1"/>
  <c r="H116" s="1"/>
  <c r="C116"/>
  <c r="B117" l="1"/>
  <c r="E116"/>
  <c r="C117" l="1"/>
  <c r="D117"/>
  <c r="H117" s="1"/>
  <c r="B119" l="1"/>
  <c r="E117"/>
  <c r="D119" l="1"/>
  <c r="H119" s="1"/>
  <c r="C119"/>
  <c r="B120" l="1"/>
  <c r="E119"/>
  <c r="C120" l="1"/>
  <c r="D120"/>
  <c r="H120" s="1"/>
  <c r="B121" l="1"/>
  <c r="E120"/>
  <c r="D121" l="1"/>
  <c r="H121" s="1"/>
  <c r="C121"/>
  <c r="B122" l="1"/>
  <c r="E121"/>
  <c r="C122" l="1"/>
  <c r="D122"/>
  <c r="H122" s="1"/>
  <c r="B124" l="1"/>
  <c r="E122"/>
  <c r="D124" l="1"/>
  <c r="H124" s="1"/>
  <c r="C124"/>
  <c r="B125" l="1"/>
  <c r="E124"/>
  <c r="C125" l="1"/>
  <c r="D125"/>
  <c r="H125" s="1"/>
  <c r="B126" l="1"/>
  <c r="E125"/>
  <c r="D126" l="1"/>
  <c r="H126" s="1"/>
  <c r="C126"/>
  <c r="B127" l="1"/>
  <c r="E126"/>
  <c r="C127" l="1"/>
  <c r="D127"/>
  <c r="H127" s="1"/>
  <c r="B129" l="1"/>
  <c r="E127"/>
  <c r="D129" l="1"/>
  <c r="H129" s="1"/>
  <c r="C129"/>
  <c r="B130" l="1"/>
  <c r="E129"/>
  <c r="C130" l="1"/>
  <c r="D130"/>
  <c r="H130" s="1"/>
  <c r="B131" l="1"/>
  <c r="E130"/>
  <c r="D131" l="1"/>
  <c r="H131" s="1"/>
  <c r="C131"/>
  <c r="B132" l="1"/>
  <c r="E131"/>
  <c r="C132" l="1"/>
  <c r="D132"/>
  <c r="H132" s="1"/>
  <c r="B134" l="1"/>
  <c r="E132"/>
  <c r="D134" l="1"/>
  <c r="H134" s="1"/>
  <c r="C134"/>
  <c r="B135" l="1"/>
  <c r="E134"/>
  <c r="C135" l="1"/>
  <c r="D135"/>
  <c r="H135" s="1"/>
  <c r="B136" l="1"/>
  <c r="E135"/>
  <c r="D136" l="1"/>
  <c r="H136" s="1"/>
  <c r="C136"/>
  <c r="B137" l="1"/>
  <c r="E136"/>
  <c r="C137" l="1"/>
  <c r="D137"/>
  <c r="H137" s="1"/>
  <c r="B138" l="1"/>
  <c r="E137"/>
  <c r="D138" l="1"/>
  <c r="H138" s="1"/>
  <c r="C138"/>
  <c r="E138" l="1"/>
</calcChain>
</file>

<file path=xl/comments1.xml><?xml version="1.0" encoding="utf-8"?>
<comments xmlns="http://schemas.openxmlformats.org/spreadsheetml/2006/main">
  <authors>
    <author>tafadzwa musekiwa</author>
    <author>cash</author>
  </authors>
  <commentList>
    <comment ref="G32" authorId="0">
      <text>
        <r>
          <rPr>
            <b/>
            <sz val="9"/>
            <color indexed="81"/>
            <rFont val="Tahoma"/>
            <family val="2"/>
          </rPr>
          <t xml:space="preserve">Started Martingale Trading to raise money for Trending EA 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>Transfered from Martingale Account given that I fixed my EA to make it 100% work</t>
        </r>
      </text>
    </comment>
    <comment ref="G47" authorId="1">
      <text>
        <r>
          <rPr>
            <b/>
            <sz val="9"/>
            <color indexed="81"/>
            <rFont val="Tahoma"/>
            <family val="2"/>
          </rPr>
          <t>Bhu**</t>
        </r>
      </text>
    </comment>
    <comment ref="G69" authorId="1">
      <text>
        <r>
          <rPr>
            <b/>
            <sz val="9"/>
            <color indexed="81"/>
            <rFont val="Tahoma"/>
            <family val="2"/>
          </rPr>
          <t xml:space="preserve">Transfered to Martingale
</t>
        </r>
      </text>
    </comment>
    <comment ref="G91" authorId="1">
      <text>
        <r>
          <rPr>
            <b/>
            <sz val="9"/>
            <color indexed="81"/>
            <rFont val="Tahoma"/>
            <family val="2"/>
          </rPr>
          <t>Initial Withdrawal</t>
        </r>
      </text>
    </comment>
  </commentList>
</comments>
</file>

<file path=xl/comments2.xml><?xml version="1.0" encoding="utf-8"?>
<comments xmlns="http://schemas.openxmlformats.org/spreadsheetml/2006/main">
  <authors>
    <author>cash</author>
  </authors>
  <commentList>
    <comment ref="F6" authorId="0">
      <text>
        <r>
          <rPr>
            <b/>
            <sz val="9"/>
            <color indexed="81"/>
            <rFont val="Tahoma"/>
            <family val="2"/>
          </rPr>
          <t>Ham's  Deposit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Brian's  Deposit</t>
        </r>
      </text>
    </comment>
    <comment ref="B15" authorId="0">
      <text>
        <r>
          <rPr>
            <b/>
            <sz val="9"/>
            <color indexed="81"/>
            <rFont val="Tahoma"/>
            <family val="2"/>
          </rPr>
          <t>Combined Accounts Starting Balance.</t>
        </r>
      </text>
    </comment>
  </commentList>
</comments>
</file>

<file path=xl/sharedStrings.xml><?xml version="1.0" encoding="utf-8"?>
<sst xmlns="http://schemas.openxmlformats.org/spreadsheetml/2006/main" count="236" uniqueCount="51">
  <si>
    <t>Mon</t>
  </si>
  <si>
    <t>Discipline</t>
  </si>
  <si>
    <t>Actual</t>
  </si>
  <si>
    <t xml:space="preserve">Week </t>
  </si>
  <si>
    <t xml:space="preserve"> EA Account</t>
  </si>
  <si>
    <t xml:space="preserve">EA  Return </t>
  </si>
  <si>
    <t xml:space="preserve">Account </t>
  </si>
  <si>
    <t xml:space="preserve">Business  </t>
  </si>
  <si>
    <t>Commencing</t>
  </si>
  <si>
    <t>Balance</t>
  </si>
  <si>
    <t>Top UP</t>
  </si>
  <si>
    <t>W/drawal</t>
  </si>
  <si>
    <t>Account</t>
  </si>
  <si>
    <t>EA £</t>
  </si>
  <si>
    <t>EA  No</t>
  </si>
  <si>
    <t xml:space="preserve">Ave Risk </t>
  </si>
  <si>
    <t xml:space="preserve">Ave </t>
  </si>
  <si>
    <t>Per Pip</t>
  </si>
  <si>
    <t>Of Pips</t>
  </si>
  <si>
    <t xml:space="preserve"> % Per Trade</t>
  </si>
  <si>
    <t>Losing £</t>
  </si>
  <si>
    <t>Transition To Live01</t>
  </si>
  <si>
    <t>BREXIT TRADING</t>
  </si>
  <si>
    <t>Normal Trading Resumes</t>
  </si>
  <si>
    <t>Max %</t>
  </si>
  <si>
    <t xml:space="preserve"> Flag</t>
  </si>
  <si>
    <t>Day</t>
  </si>
  <si>
    <r>
      <t xml:space="preserve">3.5% Per Week Target Betting Trades Account </t>
    </r>
    <r>
      <rPr>
        <b/>
        <sz val="12"/>
        <color indexed="10"/>
        <rFont val="Arial"/>
        <family val="2"/>
      </rPr>
      <t>(With)</t>
    </r>
    <r>
      <rPr>
        <b/>
        <sz val="12"/>
        <rFont val="Arial"/>
        <family val="2"/>
      </rPr>
      <t xml:space="preserve"> Intervention  -- Expert Advisor</t>
    </r>
  </si>
  <si>
    <t>% Profit</t>
  </si>
  <si>
    <t>Running Trades</t>
  </si>
  <si>
    <t>Tue</t>
  </si>
  <si>
    <t>Lost</t>
  </si>
  <si>
    <t>Wed</t>
  </si>
  <si>
    <t>Thur</t>
  </si>
  <si>
    <t xml:space="preserve">Trading Suspended due to Post  Brexit Volatility </t>
  </si>
  <si>
    <t>Start of the 100% Working EA</t>
  </si>
  <si>
    <t>Fri</t>
  </si>
  <si>
    <t>Transfered to Martingale and Lost</t>
  </si>
  <si>
    <t xml:space="preserve">5% Weekly Target </t>
  </si>
  <si>
    <t xml:space="preserve">5% Per Week Portifolio  Target </t>
  </si>
  <si>
    <t>2% Per Week TradeTarget</t>
  </si>
  <si>
    <t>Month</t>
  </si>
  <si>
    <t xml:space="preserve">MAX Risk </t>
  </si>
  <si>
    <t xml:space="preserve">Max </t>
  </si>
  <si>
    <t>Bettingtrades takes 35% of Winnings</t>
  </si>
  <si>
    <t>Bettingtrades takes 30% of Winnings</t>
  </si>
  <si>
    <t xml:space="preserve">Projection Based on £1 000 Start Up Capital </t>
  </si>
  <si>
    <t xml:space="preserve"> Account</t>
  </si>
  <si>
    <t xml:space="preserve"> Projected Return </t>
  </si>
  <si>
    <t xml:space="preserve"> £</t>
  </si>
  <si>
    <t xml:space="preserve">  No</t>
  </si>
</sst>
</file>

<file path=xl/styles.xml><?xml version="1.0" encoding="utf-8"?>
<styleSheet xmlns="http://schemas.openxmlformats.org/spreadsheetml/2006/main">
  <numFmts count="6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  <numFmt numFmtId="168" formatCode="[$-409]d\-mmm\-yy;@"/>
    <numFmt numFmtId="169" formatCode="[$£-809]#,##0"/>
  </numFmts>
  <fonts count="31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2"/>
      <color indexed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11"/>
      <name val="Calibri"/>
      <family val="2"/>
    </font>
    <font>
      <b/>
      <sz val="9"/>
      <color indexed="81"/>
      <name val="Tahoma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b/>
      <sz val="8"/>
      <color indexed="12"/>
      <name val="Calibri"/>
      <family val="2"/>
    </font>
    <font>
      <b/>
      <sz val="10"/>
      <name val="Tahoma"/>
      <family val="2"/>
    </font>
    <font>
      <b/>
      <sz val="8"/>
      <color indexed="8"/>
      <name val="Tahoma"/>
      <family val="2"/>
    </font>
    <font>
      <b/>
      <sz val="8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8"/>
      <color rgb="FF0000FF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0000FF"/>
      <name val="Calibri"/>
      <family val="2"/>
    </font>
    <font>
      <sz val="8"/>
      <color theme="0"/>
      <name val="Calibri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sz val="12"/>
      <name val="Calibri"/>
      <family val="2"/>
      <scheme val="minor"/>
    </font>
    <font>
      <b/>
      <u/>
      <sz val="10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6" fillId="0" borderId="0"/>
    <xf numFmtId="0" fontId="16" fillId="0" borderId="0"/>
    <xf numFmtId="0" fontId="3" fillId="0" borderId="0"/>
    <xf numFmtId="0" fontId="16" fillId="0" borderId="0"/>
    <xf numFmtId="0" fontId="3" fillId="0" borderId="0"/>
  </cellStyleXfs>
  <cellXfs count="103">
    <xf numFmtId="0" fontId="0" fillId="0" borderId="0" xfId="0"/>
    <xf numFmtId="0" fontId="0" fillId="0" borderId="0" xfId="0" applyFill="1"/>
    <xf numFmtId="0" fontId="3" fillId="0" borderId="0" xfId="3" applyFont="1" applyFill="1"/>
    <xf numFmtId="165" fontId="5" fillId="2" borderId="1" xfId="3" applyNumberFormat="1" applyFont="1" applyFill="1" applyBorder="1" applyAlignment="1">
      <alignment horizontal="center"/>
    </xf>
    <xf numFmtId="165" fontId="5" fillId="2" borderId="2" xfId="3" applyNumberFormat="1" applyFont="1" applyFill="1" applyBorder="1" applyAlignment="1">
      <alignment horizontal="center"/>
    </xf>
    <xf numFmtId="0" fontId="5" fillId="2" borderId="2" xfId="3" applyFont="1" applyFill="1" applyBorder="1" applyAlignment="1">
      <alignment horizontal="center"/>
    </xf>
    <xf numFmtId="0" fontId="5" fillId="2" borderId="1" xfId="4" applyFont="1" applyFill="1" applyBorder="1" applyAlignment="1">
      <alignment horizontal="center" wrapText="1"/>
    </xf>
    <xf numFmtId="0" fontId="5" fillId="2" borderId="1" xfId="3" applyFont="1" applyFill="1" applyBorder="1" applyAlignment="1">
      <alignment horizontal="center"/>
    </xf>
    <xf numFmtId="9" fontId="5" fillId="2" borderId="1" xfId="3" applyNumberFormat="1" applyFont="1" applyFill="1" applyBorder="1" applyAlignment="1">
      <alignment horizontal="center"/>
    </xf>
    <xf numFmtId="165" fontId="6" fillId="0" borderId="3" xfId="4" applyNumberFormat="1" applyFont="1" applyFill="1" applyBorder="1" applyAlignment="1">
      <alignment horizontal="center"/>
    </xf>
    <xf numFmtId="165" fontId="6" fillId="0" borderId="4" xfId="3" applyNumberFormat="1" applyFont="1" applyFill="1" applyBorder="1" applyAlignment="1">
      <alignment horizontal="center"/>
    </xf>
    <xf numFmtId="165" fontId="6" fillId="0" borderId="1" xfId="4" applyNumberFormat="1" applyFont="1" applyFill="1" applyBorder="1" applyAlignment="1">
      <alignment horizontal="center"/>
    </xf>
    <xf numFmtId="0" fontId="17" fillId="3" borderId="0" xfId="0" applyFont="1" applyFill="1"/>
    <xf numFmtId="14" fontId="6" fillId="0" borderId="1" xfId="3" applyNumberFormat="1" applyFont="1" applyFill="1" applyBorder="1"/>
    <xf numFmtId="0" fontId="5" fillId="2" borderId="1" xfId="3" applyFont="1" applyFill="1" applyBorder="1" applyAlignment="1">
      <alignment horizontal="center" wrapText="1"/>
    </xf>
    <xf numFmtId="168" fontId="6" fillId="0" borderId="3" xfId="4" applyNumberFormat="1" applyFont="1" applyFill="1" applyBorder="1"/>
    <xf numFmtId="165" fontId="18" fillId="3" borderId="5" xfId="4" applyNumberFormat="1" applyFont="1" applyFill="1" applyBorder="1" applyAlignment="1">
      <alignment horizontal="center"/>
    </xf>
    <xf numFmtId="165" fontId="6" fillId="0" borderId="3" xfId="3" applyNumberFormat="1" applyFont="1" applyFill="1" applyBorder="1" applyAlignment="1">
      <alignment horizontal="center"/>
    </xf>
    <xf numFmtId="165" fontId="10" fillId="0" borderId="3" xfId="3" applyNumberFormat="1" applyFont="1" applyFill="1" applyBorder="1" applyAlignment="1">
      <alignment horizontal="center"/>
    </xf>
    <xf numFmtId="166" fontId="7" fillId="0" borderId="3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65" fontId="19" fillId="0" borderId="3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6" fontId="7" fillId="0" borderId="1" xfId="3" applyNumberFormat="1" applyFont="1" applyFill="1" applyBorder="1" applyAlignment="1">
      <alignment horizontal="center"/>
    </xf>
    <xf numFmtId="165" fontId="10" fillId="0" borderId="1" xfId="3" applyNumberFormat="1" applyFont="1" applyFill="1" applyBorder="1" applyAlignment="1">
      <alignment horizontal="center"/>
    </xf>
    <xf numFmtId="165" fontId="20" fillId="0" borderId="3" xfId="3" applyNumberFormat="1" applyFont="1" applyFill="1" applyBorder="1" applyAlignment="1">
      <alignment horizontal="center"/>
    </xf>
    <xf numFmtId="167" fontId="11" fillId="0" borderId="1" xfId="3" applyNumberFormat="1" applyFont="1" applyFill="1" applyBorder="1" applyAlignment="1">
      <alignment horizontal="center"/>
    </xf>
    <xf numFmtId="167" fontId="11" fillId="0" borderId="3" xfId="3" applyNumberFormat="1" applyFont="1" applyFill="1" applyBorder="1" applyAlignment="1">
      <alignment horizontal="center"/>
    </xf>
    <xf numFmtId="0" fontId="17" fillId="4" borderId="0" xfId="0" applyFont="1" applyFill="1"/>
    <xf numFmtId="165" fontId="20" fillId="0" borderId="1" xfId="3" applyNumberFormat="1" applyFont="1" applyFill="1" applyBorder="1" applyAlignment="1">
      <alignment horizontal="center"/>
    </xf>
    <xf numFmtId="0" fontId="3" fillId="0" borderId="0" xfId="3" applyFill="1" applyBorder="1"/>
    <xf numFmtId="165" fontId="8" fillId="5" borderId="5" xfId="3" applyNumberFormat="1" applyFont="1" applyFill="1" applyBorder="1" applyAlignment="1">
      <alignment horizontal="center"/>
    </xf>
    <xf numFmtId="169" fontId="21" fillId="0" borderId="0" xfId="0" applyNumberFormat="1" applyFont="1" applyAlignment="1">
      <alignment horizontal="center"/>
    </xf>
    <xf numFmtId="167" fontId="19" fillId="0" borderId="3" xfId="3" applyNumberFormat="1" applyFont="1" applyFill="1" applyBorder="1" applyAlignment="1">
      <alignment horizontal="center"/>
    </xf>
    <xf numFmtId="167" fontId="20" fillId="0" borderId="3" xfId="3" applyNumberFormat="1" applyFont="1" applyFill="1" applyBorder="1" applyAlignment="1">
      <alignment horizontal="center"/>
    </xf>
    <xf numFmtId="0" fontId="22" fillId="4" borderId="0" xfId="0" applyFont="1" applyFill="1"/>
    <xf numFmtId="167" fontId="5" fillId="0" borderId="3" xfId="3" applyNumberFormat="1" applyFont="1" applyFill="1" applyBorder="1" applyAlignment="1">
      <alignment horizontal="center"/>
    </xf>
    <xf numFmtId="165" fontId="6" fillId="7" borderId="3" xfId="3" applyNumberFormat="1" applyFont="1" applyFill="1" applyBorder="1" applyAlignment="1">
      <alignment horizontal="center"/>
    </xf>
    <xf numFmtId="0" fontId="23" fillId="7" borderId="0" xfId="4" applyFont="1" applyFill="1" applyAlignment="1">
      <alignment horizontal="center" vertical="center"/>
    </xf>
    <xf numFmtId="166" fontId="5" fillId="2" borderId="1" xfId="3" applyNumberFormat="1" applyFont="1" applyFill="1" applyBorder="1" applyAlignment="1">
      <alignment horizontal="center" wrapText="1"/>
    </xf>
    <xf numFmtId="0" fontId="24" fillId="8" borderId="0" xfId="4" applyFont="1" applyFill="1" applyAlignment="1">
      <alignment horizontal="center" vertical="center"/>
    </xf>
    <xf numFmtId="9" fontId="5" fillId="2" borderId="1" xfId="4" applyNumberFormat="1" applyFont="1" applyFill="1" applyBorder="1" applyAlignment="1">
      <alignment horizontal="center" wrapText="1"/>
    </xf>
    <xf numFmtId="9" fontId="10" fillId="0" borderId="3" xfId="3" applyNumberFormat="1" applyFont="1" applyFill="1" applyBorder="1" applyAlignment="1">
      <alignment horizontal="center"/>
    </xf>
    <xf numFmtId="167" fontId="25" fillId="6" borderId="1" xfId="3" applyNumberFormat="1" applyFont="1" applyFill="1" applyBorder="1" applyAlignment="1">
      <alignment horizontal="center"/>
    </xf>
    <xf numFmtId="9" fontId="10" fillId="0" borderId="1" xfId="3" applyNumberFormat="1" applyFont="1" applyFill="1" applyBorder="1" applyAlignment="1">
      <alignment horizontal="center"/>
    </xf>
    <xf numFmtId="168" fontId="26" fillId="3" borderId="3" xfId="4" applyNumberFormat="1" applyFont="1" applyFill="1" applyBorder="1"/>
    <xf numFmtId="165" fontId="26" fillId="3" borderId="5" xfId="3" applyNumberFormat="1" applyFont="1" applyFill="1" applyBorder="1" applyAlignment="1">
      <alignment horizontal="center"/>
    </xf>
    <xf numFmtId="165" fontId="26" fillId="3" borderId="3" xfId="3" applyNumberFormat="1" applyFont="1" applyFill="1" applyBorder="1" applyAlignment="1">
      <alignment horizontal="center"/>
    </xf>
    <xf numFmtId="166" fontId="18" fillId="3" borderId="3" xfId="3" applyNumberFormat="1" applyFont="1" applyFill="1" applyBorder="1" applyAlignment="1">
      <alignment horizontal="center"/>
    </xf>
    <xf numFmtId="165" fontId="18" fillId="3" borderId="3" xfId="3" applyNumberFormat="1" applyFont="1" applyFill="1" applyBorder="1" applyAlignment="1">
      <alignment horizontal="center"/>
    </xf>
    <xf numFmtId="9" fontId="18" fillId="0" borderId="3" xfId="3" applyNumberFormat="1" applyFont="1" applyFill="1" applyBorder="1" applyAlignment="1">
      <alignment horizontal="center"/>
    </xf>
    <xf numFmtId="165" fontId="18" fillId="0" borderId="3" xfId="3" applyNumberFormat="1" applyFont="1" applyFill="1" applyBorder="1" applyAlignment="1">
      <alignment horizontal="center"/>
    </xf>
    <xf numFmtId="165" fontId="18" fillId="0" borderId="3" xfId="4" applyNumberFormat="1" applyFont="1" applyFill="1" applyBorder="1" applyAlignment="1">
      <alignment horizontal="center"/>
    </xf>
    <xf numFmtId="168" fontId="6" fillId="9" borderId="3" xfId="4" applyNumberFormat="1" applyFont="1" applyFill="1" applyBorder="1"/>
    <xf numFmtId="165" fontId="6" fillId="9" borderId="5" xfId="3" applyNumberFormat="1" applyFont="1" applyFill="1" applyBorder="1" applyAlignment="1">
      <alignment horizontal="center"/>
    </xf>
    <xf numFmtId="165" fontId="6" fillId="9" borderId="3" xfId="3" applyNumberFormat="1" applyFont="1" applyFill="1" applyBorder="1" applyAlignment="1">
      <alignment horizontal="center"/>
    </xf>
    <xf numFmtId="166" fontId="7" fillId="9" borderId="3" xfId="3" applyNumberFormat="1" applyFont="1" applyFill="1" applyBorder="1" applyAlignment="1">
      <alignment horizontal="center"/>
    </xf>
    <xf numFmtId="165" fontId="10" fillId="9" borderId="3" xfId="3" applyNumberFormat="1" applyFont="1" applyFill="1" applyBorder="1" applyAlignment="1">
      <alignment horizontal="center"/>
    </xf>
    <xf numFmtId="0" fontId="1" fillId="9" borderId="0" xfId="4" applyFont="1" applyFill="1" applyAlignment="1">
      <alignment horizontal="center" vertical="center"/>
    </xf>
    <xf numFmtId="9" fontId="18" fillId="4" borderId="3" xfId="4" applyNumberFormat="1" applyFont="1" applyFill="1" applyBorder="1" applyAlignment="1">
      <alignment horizontal="center"/>
    </xf>
    <xf numFmtId="165" fontId="18" fillId="4" borderId="3" xfId="3" applyNumberFormat="1" applyFont="1" applyFill="1" applyBorder="1" applyAlignment="1">
      <alignment horizontal="center"/>
    </xf>
    <xf numFmtId="9" fontId="18" fillId="3" borderId="3" xfId="4" applyNumberFormat="1" applyFont="1" applyFill="1" applyBorder="1" applyAlignment="1">
      <alignment horizontal="center"/>
    </xf>
    <xf numFmtId="0" fontId="27" fillId="7" borderId="0" xfId="4" applyFont="1" applyFill="1" applyAlignment="1">
      <alignment horizontal="center" vertical="center"/>
    </xf>
    <xf numFmtId="169" fontId="21" fillId="0" borderId="0" xfId="0" applyNumberFormat="1" applyFont="1" applyFill="1" applyAlignment="1">
      <alignment horizontal="center"/>
    </xf>
    <xf numFmtId="168" fontId="6" fillId="10" borderId="3" xfId="4" applyNumberFormat="1" applyFont="1" applyFill="1" applyBorder="1"/>
    <xf numFmtId="165" fontId="6" fillId="10" borderId="5" xfId="3" applyNumberFormat="1" applyFont="1" applyFill="1" applyBorder="1" applyAlignment="1">
      <alignment horizontal="center"/>
    </xf>
    <xf numFmtId="165" fontId="6" fillId="10" borderId="3" xfId="3" applyNumberFormat="1" applyFont="1" applyFill="1" applyBorder="1" applyAlignment="1">
      <alignment horizontal="center"/>
    </xf>
    <xf numFmtId="165" fontId="20" fillId="10" borderId="3" xfId="3" applyNumberFormat="1" applyFont="1" applyFill="1" applyBorder="1" applyAlignment="1">
      <alignment horizontal="center"/>
    </xf>
    <xf numFmtId="165" fontId="10" fillId="10" borderId="3" xfId="3" applyNumberFormat="1" applyFont="1" applyFill="1" applyBorder="1" applyAlignment="1">
      <alignment horizontal="center"/>
    </xf>
    <xf numFmtId="166" fontId="7" fillId="10" borderId="3" xfId="3" applyNumberFormat="1" applyFont="1" applyFill="1" applyBorder="1" applyAlignment="1">
      <alignment horizontal="center"/>
    </xf>
    <xf numFmtId="165" fontId="6" fillId="10" borderId="3" xfId="4" applyNumberFormat="1" applyFont="1" applyFill="1" applyBorder="1" applyAlignment="1">
      <alignment horizontal="center"/>
    </xf>
    <xf numFmtId="167" fontId="19" fillId="10" borderId="3" xfId="3" applyNumberFormat="1" applyFont="1" applyFill="1" applyBorder="1" applyAlignment="1">
      <alignment horizontal="center"/>
    </xf>
    <xf numFmtId="0" fontId="24" fillId="0" borderId="0" xfId="4" applyFont="1" applyFill="1" applyAlignment="1">
      <alignment horizontal="center" vertical="center"/>
    </xf>
    <xf numFmtId="0" fontId="24" fillId="4" borderId="0" xfId="4" applyFont="1" applyFill="1" applyAlignment="1">
      <alignment horizontal="center" vertical="center"/>
    </xf>
    <xf numFmtId="1" fontId="13" fillId="0" borderId="0" xfId="3" applyNumberFormat="1" applyFont="1" applyFill="1" applyAlignment="1">
      <alignment horizontal="center" vertical="center"/>
    </xf>
    <xf numFmtId="0" fontId="3" fillId="0" borderId="0" xfId="3" applyFill="1"/>
    <xf numFmtId="1" fontId="14" fillId="2" borderId="2" xfId="3" applyNumberFormat="1" applyFont="1" applyFill="1" applyBorder="1" applyAlignment="1">
      <alignment horizontal="center" vertical="center"/>
    </xf>
    <xf numFmtId="1" fontId="14" fillId="2" borderId="1" xfId="3" applyNumberFormat="1" applyFont="1" applyFill="1" applyBorder="1" applyAlignment="1">
      <alignment horizontal="center" vertical="center"/>
    </xf>
    <xf numFmtId="1" fontId="15" fillId="0" borderId="6" xfId="3" applyNumberFormat="1" applyFont="1" applyFill="1" applyBorder="1" applyAlignment="1">
      <alignment horizontal="center" vertical="center"/>
    </xf>
    <xf numFmtId="165" fontId="12" fillId="0" borderId="5" xfId="3" applyNumberFormat="1" applyFont="1" applyFill="1" applyBorder="1" applyAlignment="1">
      <alignment horizontal="center"/>
    </xf>
    <xf numFmtId="165" fontId="10" fillId="7" borderId="3" xfId="3" applyNumberFormat="1" applyFont="1" applyFill="1" applyBorder="1" applyAlignment="1">
      <alignment horizontal="center"/>
    </xf>
    <xf numFmtId="168" fontId="6" fillId="0" borderId="3" xfId="3" applyNumberFormat="1" applyFont="1" applyFill="1" applyBorder="1"/>
    <xf numFmtId="165" fontId="19" fillId="5" borderId="5" xfId="3" applyNumberFormat="1" applyFont="1" applyFill="1" applyBorder="1" applyAlignment="1">
      <alignment horizontal="center"/>
    </xf>
    <xf numFmtId="1" fontId="15" fillId="0" borderId="7" xfId="3" applyNumberFormat="1" applyFont="1" applyFill="1" applyBorder="1" applyAlignment="1">
      <alignment horizontal="center" vertical="center"/>
    </xf>
    <xf numFmtId="167" fontId="6" fillId="0" borderId="3" xfId="3" applyNumberFormat="1" applyFont="1" applyFill="1" applyBorder="1" applyAlignment="1">
      <alignment horizontal="center"/>
    </xf>
    <xf numFmtId="0" fontId="3" fillId="0" borderId="0" xfId="0" applyFont="1"/>
    <xf numFmtId="1" fontId="15" fillId="0" borderId="2" xfId="3" applyNumberFormat="1" applyFont="1" applyFill="1" applyBorder="1" applyAlignment="1">
      <alignment horizontal="center" vertical="center"/>
    </xf>
    <xf numFmtId="1" fontId="15" fillId="0" borderId="3" xfId="3" applyNumberFormat="1" applyFont="1" applyFill="1" applyBorder="1" applyAlignment="1">
      <alignment horizontal="center" vertical="center"/>
    </xf>
    <xf numFmtId="1" fontId="15" fillId="0" borderId="7" xfId="3" applyNumberFormat="1" applyFont="1" applyFill="1" applyBorder="1" applyAlignment="1">
      <alignment horizontal="center" vertical="center"/>
    </xf>
    <xf numFmtId="0" fontId="28" fillId="5" borderId="5" xfId="3" applyFont="1" applyFill="1" applyBorder="1" applyAlignment="1">
      <alignment horizontal="center"/>
    </xf>
    <xf numFmtId="0" fontId="28" fillId="5" borderId="0" xfId="3" applyFont="1" applyFill="1" applyAlignment="1">
      <alignment horizontal="center"/>
    </xf>
    <xf numFmtId="0" fontId="30" fillId="5" borderId="6" xfId="3" applyFont="1" applyFill="1" applyBorder="1" applyAlignment="1">
      <alignment horizontal="center"/>
    </xf>
    <xf numFmtId="0" fontId="30" fillId="5" borderId="4" xfId="3" applyFont="1" applyFill="1" applyBorder="1" applyAlignment="1">
      <alignment horizontal="center"/>
    </xf>
    <xf numFmtId="0" fontId="30" fillId="5" borderId="8" xfId="3" applyFont="1" applyFill="1" applyBorder="1" applyAlignment="1">
      <alignment horizontal="center"/>
    </xf>
    <xf numFmtId="0" fontId="28" fillId="0" borderId="5" xfId="3" applyFont="1" applyFill="1" applyBorder="1" applyAlignment="1">
      <alignment horizontal="center"/>
    </xf>
    <xf numFmtId="0" fontId="28" fillId="0" borderId="0" xfId="3" applyFont="1" applyFill="1" applyAlignment="1">
      <alignment horizontal="center"/>
    </xf>
    <xf numFmtId="0" fontId="2" fillId="11" borderId="6" xfId="3" applyFont="1" applyFill="1" applyBorder="1" applyAlignment="1">
      <alignment horizontal="center"/>
    </xf>
    <xf numFmtId="0" fontId="2" fillId="11" borderId="4" xfId="3" applyFont="1" applyFill="1" applyBorder="1" applyAlignment="1">
      <alignment horizontal="center"/>
    </xf>
    <xf numFmtId="0" fontId="29" fillId="11" borderId="8" xfId="0" applyFont="1" applyFill="1" applyBorder="1" applyAlignment="1">
      <alignment horizontal="center"/>
    </xf>
    <xf numFmtId="0" fontId="2" fillId="5" borderId="6" xfId="3" applyFont="1" applyFill="1" applyBorder="1" applyAlignment="1">
      <alignment horizontal="center"/>
    </xf>
    <xf numFmtId="0" fontId="2" fillId="5" borderId="4" xfId="3" applyFont="1" applyFill="1" applyBorder="1" applyAlignment="1">
      <alignment horizontal="center"/>
    </xf>
    <xf numFmtId="0" fontId="2" fillId="5" borderId="8" xfId="3" applyFont="1" applyFill="1" applyBorder="1" applyAlignment="1">
      <alignment horizontal="center"/>
    </xf>
  </cellXfs>
  <cellStyles count="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3" xfId="6"/>
    <cellStyle name="Normal 2 4" xfId="7"/>
    <cellStyle name="Normal 3" xfId="8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4" sqref="C4"/>
    </sheetView>
  </sheetViews>
  <sheetFormatPr defaultRowHeight="12.75"/>
  <cols>
    <col min="1" max="1" width="9.5703125" style="75" bestFit="1" customWidth="1"/>
    <col min="2" max="2" width="9.7109375" style="76" bestFit="1" customWidth="1"/>
    <col min="3" max="3" width="10.85546875" style="76" bestFit="1" customWidth="1"/>
    <col min="4" max="4" width="15.7109375" style="76" bestFit="1" customWidth="1"/>
    <col min="5" max="5" width="7.85546875" style="76" bestFit="1" customWidth="1"/>
    <col min="6" max="6" width="6.28515625" style="76" bestFit="1" customWidth="1"/>
    <col min="7" max="7" width="8.7109375" style="76" bestFit="1" customWidth="1"/>
    <col min="8" max="8" width="9.5703125" style="76" bestFit="1" customWidth="1"/>
    <col min="9" max="9" width="9" style="76" bestFit="1" customWidth="1"/>
    <col min="10" max="10" width="10.85546875" style="76" bestFit="1" customWidth="1"/>
    <col min="11" max="16384" width="9.140625" style="76"/>
  </cols>
  <sheetData>
    <row r="1" spans="1:16" ht="13.5" thickBot="1">
      <c r="B1" s="92"/>
      <c r="C1" s="93"/>
      <c r="D1" s="93"/>
      <c r="E1" s="93"/>
      <c r="F1" s="93"/>
      <c r="G1" s="93"/>
      <c r="H1" s="93"/>
      <c r="I1" s="93"/>
      <c r="J1" s="94"/>
    </row>
    <row r="2" spans="1:16" ht="13.5" thickBot="1">
      <c r="A2" s="77" t="s">
        <v>41</v>
      </c>
      <c r="B2" s="3" t="s">
        <v>3</v>
      </c>
      <c r="C2" s="4" t="s">
        <v>47</v>
      </c>
      <c r="D2" s="5" t="s">
        <v>48</v>
      </c>
      <c r="E2" s="5" t="s">
        <v>49</v>
      </c>
      <c r="F2" s="5" t="s">
        <v>50</v>
      </c>
      <c r="G2" s="5" t="s">
        <v>6</v>
      </c>
      <c r="H2" s="5" t="s">
        <v>6</v>
      </c>
      <c r="I2" s="14" t="s">
        <v>42</v>
      </c>
      <c r="J2" s="14" t="s">
        <v>43</v>
      </c>
    </row>
    <row r="3" spans="1:16" ht="13.5" thickBot="1">
      <c r="A3" s="78"/>
      <c r="B3" s="3" t="s">
        <v>8</v>
      </c>
      <c r="C3" s="7" t="s">
        <v>9</v>
      </c>
      <c r="D3" s="8" t="s">
        <v>9</v>
      </c>
      <c r="E3" s="8" t="s">
        <v>17</v>
      </c>
      <c r="F3" s="8" t="s">
        <v>18</v>
      </c>
      <c r="G3" s="8" t="s">
        <v>10</v>
      </c>
      <c r="H3" s="8" t="s">
        <v>11</v>
      </c>
      <c r="I3" s="14" t="s">
        <v>19</v>
      </c>
      <c r="J3" s="14" t="s">
        <v>20</v>
      </c>
    </row>
    <row r="4" spans="1:16" ht="15">
      <c r="A4" s="87">
        <v>1</v>
      </c>
      <c r="B4" s="82">
        <v>42946</v>
      </c>
      <c r="C4" s="32">
        <v>1492</v>
      </c>
      <c r="D4" s="17">
        <f>C4+(C4*0.04)</f>
        <v>1551.68</v>
      </c>
      <c r="E4" s="17">
        <f>C4/3250</f>
        <v>0.4590769230769231</v>
      </c>
      <c r="F4" s="28">
        <f>(D4-C4)/E4</f>
        <v>130.00000000000014</v>
      </c>
      <c r="G4" s="18"/>
      <c r="H4" s="18"/>
      <c r="I4" s="19">
        <f>E4*50/C4</f>
        <v>1.5384615384615385E-2</v>
      </c>
      <c r="J4" s="18">
        <f>C4-(E4*1080)</f>
        <v>996.19692307692299</v>
      </c>
    </row>
    <row r="5" spans="1:16">
      <c r="A5" s="88"/>
      <c r="B5" s="82">
        <f>B4+7</f>
        <v>42953</v>
      </c>
      <c r="C5" s="20">
        <f>D4+G4-H4</f>
        <v>1551.68</v>
      </c>
      <c r="D5" s="17">
        <f>C5+(C5*0.04)</f>
        <v>1613.7472</v>
      </c>
      <c r="E5" s="17">
        <f>C5/3250</f>
        <v>0.47744000000000003</v>
      </c>
      <c r="F5" s="28">
        <f>(D5-C5)/E5</f>
        <v>129.99999999999991</v>
      </c>
      <c r="G5" s="18"/>
      <c r="H5" s="18"/>
      <c r="I5" s="19">
        <f>E5*50/C5</f>
        <v>1.5384615384615384E-2</v>
      </c>
      <c r="J5" s="18">
        <f>C5-(E5*1080)</f>
        <v>1036.0448000000001</v>
      </c>
    </row>
    <row r="6" spans="1:16">
      <c r="A6" s="88"/>
      <c r="B6" s="82">
        <f>B5+7</f>
        <v>42960</v>
      </c>
      <c r="C6" s="20">
        <f>D5+G5-H5</f>
        <v>1613.7472</v>
      </c>
      <c r="D6" s="17">
        <f>C6+(C6*0.04)</f>
        <v>1678.297088</v>
      </c>
      <c r="E6" s="17">
        <f>C6/3250</f>
        <v>0.49653760000000002</v>
      </c>
      <c r="F6" s="28">
        <f>(D6-C6)/E6</f>
        <v>130</v>
      </c>
      <c r="G6" s="18"/>
      <c r="H6" s="18"/>
      <c r="I6" s="19">
        <f>E6*50/C6</f>
        <v>1.5384615384615385E-2</v>
      </c>
      <c r="J6" s="18">
        <f>C6-(E6*1080)</f>
        <v>1077.486592</v>
      </c>
    </row>
    <row r="7" spans="1:16" ht="13.5" thickBot="1">
      <c r="A7" s="89"/>
      <c r="B7" s="82">
        <f>B6+7</f>
        <v>42967</v>
      </c>
      <c r="C7" s="20">
        <f>D6+G6-H6</f>
        <v>1678.297088</v>
      </c>
      <c r="D7" s="17">
        <f>C7+(C7*0.04)</f>
        <v>1745.42897152</v>
      </c>
      <c r="E7" s="17">
        <f>C7/3250</f>
        <v>0.516399104</v>
      </c>
      <c r="F7" s="28">
        <f>(D7-C7)/E7</f>
        <v>129.99999999999994</v>
      </c>
      <c r="G7" s="18"/>
      <c r="H7" s="18"/>
      <c r="I7" s="19">
        <f>E7*50/C7</f>
        <v>1.5384615384615384E-2</v>
      </c>
      <c r="J7" s="18">
        <f>C7-(E7*1080)</f>
        <v>1120.5860556800001</v>
      </c>
      <c r="K7" s="95"/>
      <c r="L7" s="96"/>
      <c r="M7" s="96"/>
      <c r="N7" s="96"/>
      <c r="O7" s="96"/>
      <c r="P7" s="96"/>
    </row>
    <row r="8" spans="1:16" ht="13.5" thickBot="1">
      <c r="A8" s="79"/>
      <c r="B8" s="13"/>
      <c r="C8" s="22"/>
      <c r="D8" s="23"/>
      <c r="E8" s="23"/>
      <c r="F8" s="27"/>
      <c r="G8" s="23"/>
      <c r="H8" s="10"/>
      <c r="I8" s="24"/>
      <c r="J8" s="25"/>
    </row>
    <row r="9" spans="1:16">
      <c r="A9" s="87">
        <v>2</v>
      </c>
      <c r="B9" s="82">
        <f>B7+7</f>
        <v>42974</v>
      </c>
      <c r="C9" s="20">
        <f>D7+G7-H7</f>
        <v>1745.42897152</v>
      </c>
      <c r="D9" s="17">
        <f>C9+(C9*0.04)</f>
        <v>1815.2461303808</v>
      </c>
      <c r="E9" s="17">
        <f>C9/3250</f>
        <v>0.53705506816000004</v>
      </c>
      <c r="F9" s="28">
        <f>(D9-C9)/E9</f>
        <v>129.99999999999991</v>
      </c>
      <c r="G9" s="18"/>
      <c r="H9" s="18"/>
      <c r="I9" s="19">
        <f>E9*50/C9</f>
        <v>1.5384615384615385E-2</v>
      </c>
      <c r="J9" s="18">
        <f>C9-(E9*1080)</f>
        <v>1165.4094979071999</v>
      </c>
    </row>
    <row r="10" spans="1:16">
      <c r="A10" s="88"/>
      <c r="B10" s="82">
        <f>B9+7</f>
        <v>42981</v>
      </c>
      <c r="C10" s="20">
        <f>D9+G9-H9</f>
        <v>1815.2461303808</v>
      </c>
      <c r="D10" s="17">
        <f>C10+(C10*0.04)</f>
        <v>1887.8559755960321</v>
      </c>
      <c r="E10" s="17">
        <f>C10/3250</f>
        <v>0.55853727088640004</v>
      </c>
      <c r="F10" s="28">
        <f>(D10-C10)/E10</f>
        <v>130.00000000000017</v>
      </c>
      <c r="G10" s="18"/>
      <c r="H10" s="18"/>
      <c r="I10" s="19">
        <f>E10*50/C10</f>
        <v>1.5384615384615387E-2</v>
      </c>
      <c r="J10" s="18">
        <f>C10-(E10*1080)</f>
        <v>1212.0258778234879</v>
      </c>
    </row>
    <row r="11" spans="1:16">
      <c r="A11" s="88"/>
      <c r="B11" s="82">
        <f>B10+7</f>
        <v>42988</v>
      </c>
      <c r="C11" s="20">
        <f>D10+G10-H10</f>
        <v>1887.8559755960321</v>
      </c>
      <c r="D11" s="17">
        <f>C11+(C11*0.04)</f>
        <v>1963.3702146198734</v>
      </c>
      <c r="E11" s="17">
        <f>C11/3250</f>
        <v>0.58087876172185604</v>
      </c>
      <c r="F11" s="28">
        <f>(D11-C11)/E11</f>
        <v>130.00000000000011</v>
      </c>
      <c r="G11" s="18"/>
      <c r="H11" s="18"/>
      <c r="I11" s="19">
        <f>E11*50/C11</f>
        <v>1.5384615384615385E-2</v>
      </c>
      <c r="J11" s="18">
        <f>C11-(E11*1080)</f>
        <v>1260.5069129364274</v>
      </c>
    </row>
    <row r="12" spans="1:16" ht="13.5" thickBot="1">
      <c r="A12" s="89"/>
      <c r="B12" s="82">
        <f>B11+7</f>
        <v>42995</v>
      </c>
      <c r="C12" s="20">
        <f>D11+G11-H11</f>
        <v>1963.3702146198734</v>
      </c>
      <c r="D12" s="17">
        <f>C12+(C12*0.04)</f>
        <v>2041.9050232046684</v>
      </c>
      <c r="E12" s="17">
        <f>C12/3250</f>
        <v>0.6041139121907303</v>
      </c>
      <c r="F12" s="28">
        <f>(D12-C12)/E12</f>
        <v>130.00000000000006</v>
      </c>
      <c r="G12" s="18"/>
      <c r="H12" s="18"/>
      <c r="I12" s="19">
        <f>E12*50/C12</f>
        <v>1.5384615384615385E-2</v>
      </c>
      <c r="J12" s="18">
        <f>C12-(E12*1080)</f>
        <v>1310.9271894538847</v>
      </c>
      <c r="K12" s="95"/>
      <c r="L12" s="96"/>
      <c r="M12" s="96"/>
      <c r="N12" s="96"/>
      <c r="O12" s="96"/>
      <c r="P12" s="96"/>
    </row>
    <row r="13" spans="1:16" ht="13.5" thickBot="1">
      <c r="A13" s="79"/>
      <c r="B13" s="13"/>
      <c r="C13" s="22"/>
      <c r="D13" s="23"/>
      <c r="E13" s="23"/>
      <c r="F13" s="27"/>
      <c r="G13" s="23"/>
      <c r="H13" s="10"/>
      <c r="I13" s="24"/>
      <c r="J13" s="25"/>
    </row>
    <row r="14" spans="1:16">
      <c r="A14" s="87">
        <v>3</v>
      </c>
      <c r="B14" s="82">
        <f>B12+7</f>
        <v>43002</v>
      </c>
      <c r="C14" s="20">
        <f>D12+G12-H12</f>
        <v>2041.9050232046684</v>
      </c>
      <c r="D14" s="17">
        <f>C14+(C14*0.04)</f>
        <v>2123.5812241328549</v>
      </c>
      <c r="E14" s="17">
        <f>C14/3250</f>
        <v>0.62827846867835946</v>
      </c>
      <c r="F14" s="28">
        <f>(D14-C14)/E14</f>
        <v>129.99999999999966</v>
      </c>
      <c r="G14" s="18"/>
      <c r="H14" s="18"/>
      <c r="I14" s="19">
        <f>E14*50/C14</f>
        <v>1.5384615384615384E-2</v>
      </c>
      <c r="J14" s="18">
        <f>C14-(E14*1080)</f>
        <v>1363.3642770320403</v>
      </c>
    </row>
    <row r="15" spans="1:16">
      <c r="A15" s="88"/>
      <c r="B15" s="82">
        <f>B14+7</f>
        <v>43009</v>
      </c>
      <c r="C15" s="20">
        <f>D14+G14-H14</f>
        <v>2123.5812241328549</v>
      </c>
      <c r="D15" s="17">
        <f>C15+(C15*0.04)</f>
        <v>2208.524473098169</v>
      </c>
      <c r="E15" s="17">
        <f>C15/3250</f>
        <v>0.65340960742549381</v>
      </c>
      <c r="F15" s="28">
        <f>(D15-C15)/E15</f>
        <v>129.9999999999998</v>
      </c>
      <c r="G15" s="18"/>
      <c r="H15" s="18"/>
      <c r="I15" s="19">
        <f>E15*50/C15</f>
        <v>1.5384615384615385E-2</v>
      </c>
      <c r="J15" s="18">
        <f>C15-(E15*1080)</f>
        <v>1417.8988481133215</v>
      </c>
    </row>
    <row r="16" spans="1:16">
      <c r="A16" s="88"/>
      <c r="B16" s="82">
        <f>B15+7</f>
        <v>43016</v>
      </c>
      <c r="C16" s="20">
        <f>D15+G15-H15</f>
        <v>2208.524473098169</v>
      </c>
      <c r="D16" s="17">
        <f>C16+(C16*0.04)</f>
        <v>2296.8654520220957</v>
      </c>
      <c r="E16" s="17">
        <f>C16/3250</f>
        <v>0.67954599172251351</v>
      </c>
      <c r="F16" s="28">
        <f>(D16-C16)/E16</f>
        <v>129.99999999999997</v>
      </c>
      <c r="G16" s="18"/>
      <c r="H16" s="18"/>
      <c r="I16" s="19">
        <f>E16*50/C16</f>
        <v>1.5384615384615384E-2</v>
      </c>
      <c r="J16" s="18">
        <f>C16-(E16*1080)</f>
        <v>1474.6148020378544</v>
      </c>
    </row>
    <row r="17" spans="1:16" ht="13.5" thickBot="1">
      <c r="A17" s="89"/>
      <c r="B17" s="82">
        <f>B16+7</f>
        <v>43023</v>
      </c>
      <c r="C17" s="20">
        <f>D16+G16-H16</f>
        <v>2296.8654520220957</v>
      </c>
      <c r="D17" s="17">
        <f>C17+(C17*0.04)</f>
        <v>2388.7400701029796</v>
      </c>
      <c r="E17" s="17">
        <f>C17/3250</f>
        <v>0.70672783139141404</v>
      </c>
      <c r="F17" s="28">
        <f>(D17-C17)/E17</f>
        <v>130.00000000000014</v>
      </c>
      <c r="G17" s="18"/>
      <c r="H17" s="81">
        <f>(D17-C4)*0.3</f>
        <v>269.02202103089388</v>
      </c>
      <c r="I17" s="19">
        <f>E17*50/C17</f>
        <v>1.5384615384615384E-2</v>
      </c>
      <c r="J17" s="18">
        <f>C17-(E17*1080)</f>
        <v>1533.5993941193685</v>
      </c>
      <c r="K17" s="90" t="s">
        <v>45</v>
      </c>
      <c r="L17" s="91"/>
      <c r="M17" s="91"/>
      <c r="N17" s="91"/>
      <c r="O17" s="91"/>
      <c r="P17" s="91"/>
    </row>
    <row r="18" spans="1:16" ht="13.5" thickBot="1">
      <c r="A18" s="79"/>
      <c r="B18" s="13"/>
      <c r="C18" s="22"/>
      <c r="D18" s="23"/>
      <c r="E18" s="23"/>
      <c r="F18" s="27"/>
      <c r="G18" s="23"/>
      <c r="H18" s="10"/>
      <c r="I18" s="24"/>
      <c r="J18" s="25"/>
    </row>
    <row r="19" spans="1:16">
      <c r="A19" s="87">
        <v>4</v>
      </c>
      <c r="B19" s="82">
        <f>B17+7</f>
        <v>43030</v>
      </c>
      <c r="C19" s="20">
        <f>D17+G17-H17</f>
        <v>2119.7180490720857</v>
      </c>
      <c r="D19" s="17">
        <f>C19+(C19*0.04)</f>
        <v>2204.506771034969</v>
      </c>
      <c r="E19" s="17">
        <f>C19/3250</f>
        <v>0.65222093817602633</v>
      </c>
      <c r="F19" s="28">
        <f>(D19-C19)/E19</f>
        <v>129.9999999999998</v>
      </c>
      <c r="G19" s="18"/>
      <c r="H19" s="18"/>
      <c r="I19" s="19">
        <f>E19*50/C19</f>
        <v>1.5384615384615382E-2</v>
      </c>
      <c r="J19" s="18">
        <f>C19-(E19*1080)</f>
        <v>1415.3194358419773</v>
      </c>
    </row>
    <row r="20" spans="1:16">
      <c r="A20" s="88"/>
      <c r="B20" s="82">
        <f>B19+7</f>
        <v>43037</v>
      </c>
      <c r="C20" s="20">
        <f>D19+G19-H19</f>
        <v>2204.506771034969</v>
      </c>
      <c r="D20" s="17">
        <f>C20+(C20*0.04)</f>
        <v>2292.6870418763679</v>
      </c>
      <c r="E20" s="17">
        <f>C20/3250</f>
        <v>0.67830977570306739</v>
      </c>
      <c r="F20" s="28">
        <f>(D20-C20)/E20</f>
        <v>130.00000000000014</v>
      </c>
      <c r="G20" s="18"/>
      <c r="H20" s="18"/>
      <c r="I20" s="19">
        <f>E20*50/C20</f>
        <v>1.5384615384615385E-2</v>
      </c>
      <c r="J20" s="18">
        <f>C20-(E20*1080)</f>
        <v>1471.9322132756561</v>
      </c>
    </row>
    <row r="21" spans="1:16">
      <c r="A21" s="88"/>
      <c r="B21" s="82">
        <f>B20+7</f>
        <v>43044</v>
      </c>
      <c r="C21" s="20">
        <f>D20+G20-H20</f>
        <v>2292.6870418763679</v>
      </c>
      <c r="D21" s="17">
        <f>C21+(C21*0.04)</f>
        <v>2384.3945235514225</v>
      </c>
      <c r="E21" s="17">
        <f>C21/3250</f>
        <v>0.70544216673119009</v>
      </c>
      <c r="F21" s="28">
        <f>(D21-C21)/E21</f>
        <v>129.99999999999989</v>
      </c>
      <c r="G21" s="18"/>
      <c r="H21" s="18"/>
      <c r="I21" s="19">
        <f>E21*50/C21</f>
        <v>1.5384615384615384E-2</v>
      </c>
      <c r="J21" s="18">
        <f>C21-(E21*1080)</f>
        <v>1530.8095018066824</v>
      </c>
    </row>
    <row r="22" spans="1:16" ht="13.5" thickBot="1">
      <c r="A22" s="89"/>
      <c r="B22" s="82">
        <f>B21+7</f>
        <v>43051</v>
      </c>
      <c r="C22" s="20">
        <f>D21+G21-H21</f>
        <v>2384.3945235514225</v>
      </c>
      <c r="D22" s="17">
        <f>C22+(C22*0.04)</f>
        <v>2479.7703044934792</v>
      </c>
      <c r="E22" s="17">
        <f>C22/3250</f>
        <v>0.73365985340043771</v>
      </c>
      <c r="F22" s="28">
        <f>(D22-C22)/E22</f>
        <v>129.99999999999977</v>
      </c>
      <c r="G22" s="18"/>
      <c r="H22" s="18"/>
      <c r="I22" s="19">
        <f>E22*50/C22</f>
        <v>1.5384615384615387E-2</v>
      </c>
      <c r="J22" s="18">
        <f>C22-(E22*1080)</f>
        <v>1592.0418818789499</v>
      </c>
      <c r="K22" s="95"/>
      <c r="L22" s="96"/>
      <c r="M22" s="96"/>
      <c r="N22" s="96"/>
      <c r="O22" s="96"/>
      <c r="P22" s="96"/>
    </row>
    <row r="23" spans="1:16" ht="13.5" thickBot="1">
      <c r="A23" s="79"/>
      <c r="B23" s="13"/>
      <c r="C23" s="22"/>
      <c r="D23" s="23"/>
      <c r="E23" s="23"/>
      <c r="F23" s="27"/>
      <c r="G23" s="23"/>
      <c r="H23" s="10"/>
      <c r="I23" s="24"/>
      <c r="J23" s="25"/>
    </row>
    <row r="24" spans="1:16">
      <c r="A24" s="87">
        <v>5</v>
      </c>
      <c r="B24" s="82">
        <f>B22+7</f>
        <v>43058</v>
      </c>
      <c r="C24" s="20">
        <f>D22+G22-H22</f>
        <v>2479.7703044934792</v>
      </c>
      <c r="D24" s="17">
        <f>C24+(C24*0.04)</f>
        <v>2578.9611166732184</v>
      </c>
      <c r="E24" s="17">
        <f>C24/3250</f>
        <v>0.76300624753645518</v>
      </c>
      <c r="F24" s="28">
        <f>(D24-C24)/E24</f>
        <v>130</v>
      </c>
      <c r="G24" s="18"/>
      <c r="H24" s="18"/>
      <c r="I24" s="19">
        <f>E24*50/C24</f>
        <v>1.5384615384615385E-2</v>
      </c>
      <c r="J24" s="18">
        <f>C24-(E24*1080)</f>
        <v>1655.7235571541078</v>
      </c>
    </row>
    <row r="25" spans="1:16">
      <c r="A25" s="88"/>
      <c r="B25" s="82">
        <f>B24+7</f>
        <v>43065</v>
      </c>
      <c r="C25" s="20">
        <f>D24+G24-H24</f>
        <v>2578.9611166732184</v>
      </c>
      <c r="D25" s="17">
        <f>C25+(C25*0.04)</f>
        <v>2682.1195613401469</v>
      </c>
      <c r="E25" s="17">
        <f>C25/3250</f>
        <v>0.79352649743791337</v>
      </c>
      <c r="F25" s="28">
        <f>(D25-C25)/E25</f>
        <v>129.99999999999972</v>
      </c>
      <c r="G25" s="18"/>
      <c r="H25" s="18"/>
      <c r="I25" s="19">
        <f>E25*50/C25</f>
        <v>1.5384615384615384E-2</v>
      </c>
      <c r="J25" s="18">
        <f>C25-(E25*1080)</f>
        <v>1721.9524994402718</v>
      </c>
    </row>
    <row r="26" spans="1:16">
      <c r="A26" s="88"/>
      <c r="B26" s="82">
        <f>B25+7</f>
        <v>43072</v>
      </c>
      <c r="C26" s="20">
        <f>D25+G25-H25</f>
        <v>2682.1195613401469</v>
      </c>
      <c r="D26" s="17">
        <f>C26+(C26*0.04)</f>
        <v>2789.4043437937526</v>
      </c>
      <c r="E26" s="17">
        <f>C26/3250</f>
        <v>0.82526755733542978</v>
      </c>
      <c r="F26" s="28">
        <f>(D26-C26)/E26</f>
        <v>129.99999999999974</v>
      </c>
      <c r="G26" s="18"/>
      <c r="H26" s="18"/>
      <c r="I26" s="19">
        <f>E26*50/C26</f>
        <v>1.5384615384615385E-2</v>
      </c>
      <c r="J26" s="18">
        <f>C26-(E26*1080)</f>
        <v>1790.8305994178827</v>
      </c>
    </row>
    <row r="27" spans="1:16" ht="13.5" thickBot="1">
      <c r="A27" s="89"/>
      <c r="B27" s="82">
        <f>B26+7</f>
        <v>43079</v>
      </c>
      <c r="C27" s="20">
        <f>D26+G26-H26</f>
        <v>2789.4043437937526</v>
      </c>
      <c r="D27" s="17">
        <f>C27+(C27*0.04)</f>
        <v>2900.9805175455026</v>
      </c>
      <c r="E27" s="17">
        <f>C27/3250</f>
        <v>0.85827825962884696</v>
      </c>
      <c r="F27" s="28">
        <f>(D27-C27)/E27</f>
        <v>129.99999999999994</v>
      </c>
      <c r="G27" s="18"/>
      <c r="H27" s="18"/>
      <c r="I27" s="19">
        <f>E27*50/C27</f>
        <v>1.5384615384615385E-2</v>
      </c>
      <c r="J27" s="18">
        <f>C27-(E27*1080)</f>
        <v>1862.463823394598</v>
      </c>
      <c r="K27" s="95"/>
      <c r="L27" s="96"/>
      <c r="M27" s="96"/>
      <c r="N27" s="96"/>
      <c r="O27" s="96"/>
      <c r="P27" s="96"/>
    </row>
    <row r="28" spans="1:16" ht="13.5" thickBot="1">
      <c r="A28" s="79"/>
      <c r="B28" s="13"/>
      <c r="C28" s="22"/>
      <c r="D28" s="23"/>
      <c r="E28" s="23"/>
      <c r="F28" s="27"/>
      <c r="G28" s="23"/>
      <c r="H28" s="10"/>
      <c r="I28" s="24"/>
      <c r="J28" s="25"/>
    </row>
    <row r="29" spans="1:16">
      <c r="A29" s="87">
        <v>6</v>
      </c>
      <c r="B29" s="82">
        <f>B27+7</f>
        <v>43086</v>
      </c>
      <c r="C29" s="20">
        <f>D27+G27-H27</f>
        <v>2900.9805175455026</v>
      </c>
      <c r="D29" s="17">
        <f>C29+(C29*0.04)</f>
        <v>3017.0197382473225</v>
      </c>
      <c r="E29" s="17">
        <f>C29/3250</f>
        <v>0.89260939001400075</v>
      </c>
      <c r="F29" s="28">
        <f>(D29-C29)/E29</f>
        <v>129.99999999999977</v>
      </c>
      <c r="G29" s="18"/>
      <c r="H29" s="18"/>
      <c r="I29" s="19">
        <f>E29*50/C29</f>
        <v>1.5384615384615384E-2</v>
      </c>
      <c r="J29" s="18">
        <f>C29-(E29*1080)</f>
        <v>1936.9623763303816</v>
      </c>
    </row>
    <row r="30" spans="1:16">
      <c r="A30" s="88"/>
      <c r="B30" s="82">
        <f>B29+7</f>
        <v>43093</v>
      </c>
      <c r="C30" s="20">
        <f>D29+G29-H29</f>
        <v>3017.0197382473225</v>
      </c>
      <c r="D30" s="17">
        <f>C30+(C30*0.04)</f>
        <v>3137.7005277772155</v>
      </c>
      <c r="E30" s="17">
        <f>C30/3250</f>
        <v>0.9283137656145608</v>
      </c>
      <c r="F30" s="28">
        <f>(D30-C30)/E30</f>
        <v>130.00000000000009</v>
      </c>
      <c r="G30" s="18"/>
      <c r="H30" s="18"/>
      <c r="I30" s="19">
        <f>E30*50/C30</f>
        <v>1.5384615384615385E-2</v>
      </c>
      <c r="J30" s="18">
        <f>C30-(E30*1080)</f>
        <v>2014.4408713835969</v>
      </c>
    </row>
    <row r="31" spans="1:16">
      <c r="A31" s="88"/>
      <c r="B31" s="82">
        <f>B30+7</f>
        <v>43100</v>
      </c>
      <c r="C31" s="20">
        <f>D30+G30-H30</f>
        <v>3137.7005277772155</v>
      </c>
      <c r="D31" s="17">
        <f>C31+(C31*0.04)</f>
        <v>3263.208548888304</v>
      </c>
      <c r="E31" s="17">
        <f>C31/3250</f>
        <v>0.96544631623914323</v>
      </c>
      <c r="F31" s="28">
        <f>(D31-C31)/E31</f>
        <v>129.99999999999989</v>
      </c>
      <c r="G31" s="18"/>
      <c r="H31" s="18"/>
      <c r="I31" s="19">
        <f>E31*50/C31</f>
        <v>1.5384615384615385E-2</v>
      </c>
      <c r="J31" s="18">
        <f>C31-(E31*1080)</f>
        <v>2095.018506238941</v>
      </c>
    </row>
    <row r="32" spans="1:16" ht="13.5" thickBot="1">
      <c r="A32" s="89"/>
      <c r="B32" s="82">
        <f>B31+7</f>
        <v>43107</v>
      </c>
      <c r="C32" s="20">
        <f>D31+G31-H31</f>
        <v>3263.208548888304</v>
      </c>
      <c r="D32" s="17">
        <f>C32+(C32*0.04)</f>
        <v>3393.7368908438361</v>
      </c>
      <c r="E32" s="17">
        <f>C32/3250</f>
        <v>1.0040641688887089</v>
      </c>
      <c r="F32" s="28">
        <f>(D32-C32)/E32</f>
        <v>130</v>
      </c>
      <c r="G32" s="18"/>
      <c r="H32" s="81">
        <f>(D32-C19)*0.35</f>
        <v>445.90659462011263</v>
      </c>
      <c r="I32" s="19">
        <f>E32*50/C32</f>
        <v>1.5384615384615385E-2</v>
      </c>
      <c r="J32" s="18">
        <f>C32-(E32*1080)</f>
        <v>2178.8192464884987</v>
      </c>
      <c r="K32" s="90" t="s">
        <v>44</v>
      </c>
      <c r="L32" s="91"/>
      <c r="M32" s="91"/>
      <c r="N32" s="91"/>
      <c r="O32" s="91"/>
      <c r="P32" s="91"/>
    </row>
    <row r="33" spans="1:16" ht="13.5" thickBot="1">
      <c r="A33" s="79"/>
      <c r="B33" s="13"/>
      <c r="C33" s="22"/>
      <c r="D33" s="23"/>
      <c r="E33" s="23"/>
      <c r="F33" s="27"/>
      <c r="G33" s="23"/>
      <c r="H33" s="10"/>
      <c r="I33" s="24"/>
      <c r="J33" s="25"/>
    </row>
    <row r="34" spans="1:16">
      <c r="A34" s="87">
        <v>7</v>
      </c>
      <c r="B34" s="82">
        <f>B32+7</f>
        <v>43114</v>
      </c>
      <c r="C34" s="20">
        <f>D32+G32-H32</f>
        <v>2947.8302962237235</v>
      </c>
      <c r="D34" s="17">
        <f>C34+(C34*0.04)</f>
        <v>3065.7435080726723</v>
      </c>
      <c r="E34" s="17">
        <f>C34/3250</f>
        <v>0.90702470653037648</v>
      </c>
      <c r="F34" s="28">
        <f>(D34-C34)/E34</f>
        <v>129.99999999999983</v>
      </c>
      <c r="G34" s="18"/>
      <c r="H34" s="18"/>
      <c r="I34" s="19">
        <f>E34*50/C34</f>
        <v>1.5384615384615385E-2</v>
      </c>
      <c r="J34" s="18">
        <f>C34-(E34*1080)</f>
        <v>1968.2436131709169</v>
      </c>
    </row>
    <row r="35" spans="1:16">
      <c r="A35" s="88"/>
      <c r="B35" s="82">
        <f>B34+7</f>
        <v>43121</v>
      </c>
      <c r="C35" s="20">
        <f>D34+G34-H34</f>
        <v>3065.7435080726723</v>
      </c>
      <c r="D35" s="17">
        <f>C35+(C35*0.04)</f>
        <v>3188.3732483955791</v>
      </c>
      <c r="E35" s="17">
        <f>C35/3250</f>
        <v>0.94330569479159143</v>
      </c>
      <c r="F35" s="28">
        <f>(D35-C35)/E35</f>
        <v>129.99999999999997</v>
      </c>
      <c r="G35" s="18"/>
      <c r="H35" s="18"/>
      <c r="I35" s="19">
        <f>E35*50/C35</f>
        <v>1.5384615384615384E-2</v>
      </c>
      <c r="J35" s="18">
        <f>C35-(E35*1080)</f>
        <v>2046.9733576977535</v>
      </c>
    </row>
    <row r="36" spans="1:16">
      <c r="A36" s="88"/>
      <c r="B36" s="82">
        <f>B35+7</f>
        <v>43128</v>
      </c>
      <c r="C36" s="20">
        <f>D35+G35-H35</f>
        <v>3188.3732483955791</v>
      </c>
      <c r="D36" s="17">
        <f>C36+(C36*0.04)</f>
        <v>3315.9081783314023</v>
      </c>
      <c r="E36" s="17">
        <f>C36/3250</f>
        <v>0.98103792258325517</v>
      </c>
      <c r="F36" s="28">
        <f>(D36-C36)/E36</f>
        <v>129.99999999999994</v>
      </c>
      <c r="G36" s="18"/>
      <c r="H36" s="18"/>
      <c r="I36" s="19">
        <f>E36*50/C36</f>
        <v>1.5384615384615385E-2</v>
      </c>
      <c r="J36" s="18">
        <f>C36-(E36*1080)</f>
        <v>2128.8522920056635</v>
      </c>
    </row>
    <row r="37" spans="1:16" ht="13.5" thickBot="1">
      <c r="A37" s="89"/>
      <c r="B37" s="82">
        <f>B36+7</f>
        <v>43135</v>
      </c>
      <c r="C37" s="20">
        <f>D36+G36-H36</f>
        <v>3315.9081783314023</v>
      </c>
      <c r="D37" s="17">
        <f>C37+(C37*0.04)</f>
        <v>3448.5445054646584</v>
      </c>
      <c r="E37" s="17">
        <f>C37/3250</f>
        <v>1.0202794394865853</v>
      </c>
      <c r="F37" s="28">
        <f>(D37-C37)/E37</f>
        <v>130.00000000000006</v>
      </c>
      <c r="G37" s="81"/>
      <c r="H37" s="81"/>
      <c r="I37" s="19">
        <f>E37*50/C37</f>
        <v>1.5384615384615385E-2</v>
      </c>
      <c r="J37" s="18">
        <f>C37-(E37*1080)</f>
        <v>2214.0063836858899</v>
      </c>
      <c r="K37" s="95"/>
      <c r="L37" s="96"/>
      <c r="M37" s="96"/>
      <c r="N37" s="96"/>
      <c r="O37" s="96"/>
      <c r="P37" s="96"/>
    </row>
    <row r="38" spans="1:16" ht="13.5" thickBot="1">
      <c r="A38" s="79"/>
      <c r="B38" s="13"/>
      <c r="C38" s="22"/>
      <c r="D38" s="23"/>
      <c r="E38" s="23"/>
      <c r="F38" s="27"/>
      <c r="G38" s="23"/>
      <c r="H38" s="10"/>
      <c r="I38" s="24"/>
      <c r="J38" s="25"/>
    </row>
    <row r="39" spans="1:16">
      <c r="A39" s="87">
        <v>8</v>
      </c>
      <c r="B39" s="82">
        <f>B37+7</f>
        <v>43142</v>
      </c>
      <c r="C39" s="20">
        <f>D37+G37-H37</f>
        <v>3448.5445054646584</v>
      </c>
      <c r="D39" s="17">
        <f>C39+(C39*0.04)</f>
        <v>3586.4862856832447</v>
      </c>
      <c r="E39" s="17">
        <f>C39/3250</f>
        <v>1.0610906170660488</v>
      </c>
      <c r="F39" s="28">
        <f>(D39-C39)/E39</f>
        <v>129.99999999999991</v>
      </c>
      <c r="G39" s="18"/>
      <c r="H39" s="18"/>
      <c r="I39" s="19">
        <f>E39*50/C39</f>
        <v>1.5384615384615385E-2</v>
      </c>
      <c r="J39" s="18">
        <f>C39-(E39*1080)</f>
        <v>2302.5666390333258</v>
      </c>
    </row>
    <row r="40" spans="1:16">
      <c r="A40" s="88"/>
      <c r="B40" s="82">
        <f>B39+7</f>
        <v>43149</v>
      </c>
      <c r="C40" s="20">
        <f>D39+G39-H39</f>
        <v>3586.4862856832447</v>
      </c>
      <c r="D40" s="17">
        <f>C40+(C40*0.04)</f>
        <v>3729.9457371105746</v>
      </c>
      <c r="E40" s="17">
        <f>C40/3250</f>
        <v>1.1035342417486906</v>
      </c>
      <c r="F40" s="28">
        <f>(D40-C40)/E40</f>
        <v>130.00000000000011</v>
      </c>
      <c r="G40" s="18"/>
      <c r="H40" s="18"/>
      <c r="I40" s="19">
        <f>E40*50/C40</f>
        <v>1.5384615384615384E-2</v>
      </c>
      <c r="J40" s="18">
        <f>C40-(E40*1080)</f>
        <v>2394.6693045946586</v>
      </c>
    </row>
    <row r="41" spans="1:16">
      <c r="A41" s="88"/>
      <c r="B41" s="82">
        <f>B40+7</f>
        <v>43156</v>
      </c>
      <c r="C41" s="20">
        <f>D40+G40-H40</f>
        <v>3729.9457371105746</v>
      </c>
      <c r="D41" s="17">
        <f>C41+(C41*0.04)</f>
        <v>3879.1435665949975</v>
      </c>
      <c r="E41" s="17">
        <f>C41/3250</f>
        <v>1.1476756114186384</v>
      </c>
      <c r="F41" s="28">
        <f>(D41-C41)/E41</f>
        <v>130</v>
      </c>
      <c r="G41" s="18"/>
      <c r="H41" s="18"/>
      <c r="I41" s="19">
        <f>E41*50/C41</f>
        <v>1.5384615384615385E-2</v>
      </c>
      <c r="J41" s="18">
        <f>C41-(E41*1080)</f>
        <v>2490.4560767784451</v>
      </c>
    </row>
    <row r="42" spans="1:16" ht="13.5" thickBot="1">
      <c r="A42" s="89"/>
      <c r="B42" s="82">
        <f>B41+7</f>
        <v>43163</v>
      </c>
      <c r="C42" s="20">
        <f>D41+G41-H41</f>
        <v>3879.1435665949975</v>
      </c>
      <c r="D42" s="17">
        <f>C42+(C42*0.04)</f>
        <v>4034.3093092587974</v>
      </c>
      <c r="E42" s="17">
        <f>C42/3250</f>
        <v>1.1935826358753838</v>
      </c>
      <c r="F42" s="28">
        <f>(D42-C42)/E42</f>
        <v>129.99999999999997</v>
      </c>
      <c r="G42" s="81"/>
      <c r="H42" s="81"/>
      <c r="I42" s="19">
        <f>E42*50/C42</f>
        <v>1.5384615384615385E-2</v>
      </c>
      <c r="J42" s="18">
        <f>C42-(E42*1080)</f>
        <v>2590.0743198495829</v>
      </c>
      <c r="K42" s="95"/>
      <c r="L42" s="96"/>
      <c r="M42" s="96"/>
      <c r="N42" s="96"/>
      <c r="O42" s="96"/>
      <c r="P42" s="96"/>
    </row>
    <row r="43" spans="1:16" ht="13.5" thickBot="1">
      <c r="A43" s="79"/>
      <c r="B43" s="13"/>
      <c r="C43" s="22"/>
      <c r="D43" s="23"/>
      <c r="E43" s="23"/>
      <c r="F43" s="27"/>
      <c r="G43" s="23"/>
      <c r="H43" s="10"/>
      <c r="I43" s="24"/>
      <c r="J43" s="25"/>
    </row>
    <row r="44" spans="1:16">
      <c r="A44" s="87">
        <v>9</v>
      </c>
      <c r="B44" s="82">
        <f>B42+7</f>
        <v>43170</v>
      </c>
      <c r="C44" s="20">
        <f>D42+G42-H42</f>
        <v>4034.3093092587974</v>
      </c>
      <c r="D44" s="17">
        <f>C44+(C44*0.04)</f>
        <v>4195.6816816291494</v>
      </c>
      <c r="E44" s="17">
        <f>C44/3250</f>
        <v>1.2413259413103992</v>
      </c>
      <c r="F44" s="28">
        <f>(D44-C44)/E44</f>
        <v>130.00000000000006</v>
      </c>
      <c r="G44" s="18"/>
      <c r="H44" s="18"/>
      <c r="I44" s="19">
        <f>E44*50/C44</f>
        <v>1.5384615384615385E-2</v>
      </c>
      <c r="J44" s="18">
        <f>C44-(E44*1080)</f>
        <v>2693.677292643566</v>
      </c>
    </row>
    <row r="45" spans="1:16">
      <c r="A45" s="88"/>
      <c r="B45" s="82">
        <f>B44+7</f>
        <v>43177</v>
      </c>
      <c r="C45" s="20">
        <f>D44+G44-H44</f>
        <v>4195.6816816291494</v>
      </c>
      <c r="D45" s="17">
        <f>C45+(C45*0.04)</f>
        <v>4363.5089488943149</v>
      </c>
      <c r="E45" s="17">
        <f>C45/3250</f>
        <v>1.2909789789628152</v>
      </c>
      <c r="F45" s="28">
        <f>(D45-C45)/E45</f>
        <v>129.99999999999969</v>
      </c>
      <c r="G45" s="18"/>
      <c r="H45" s="18"/>
      <c r="I45" s="19">
        <f>E45*50/C45</f>
        <v>1.5384615384615385E-2</v>
      </c>
      <c r="J45" s="18">
        <f>C45-(E45*1080)</f>
        <v>2801.4243843493086</v>
      </c>
    </row>
    <row r="46" spans="1:16">
      <c r="A46" s="88"/>
      <c r="B46" s="82">
        <f>B45+7</f>
        <v>43184</v>
      </c>
      <c r="C46" s="20">
        <f>D45+G45-H45</f>
        <v>4363.5089488943149</v>
      </c>
      <c r="D46" s="17">
        <f>C46+(C46*0.04)</f>
        <v>4538.0493068500873</v>
      </c>
      <c r="E46" s="17">
        <f>C46/3250</f>
        <v>1.3426181381213276</v>
      </c>
      <c r="F46" s="28">
        <f>(D46-C46)/E46</f>
        <v>129.99999999999986</v>
      </c>
      <c r="G46" s="18"/>
      <c r="H46" s="18"/>
      <c r="I46" s="19">
        <f>E46*50/C46</f>
        <v>1.5384615384615382E-2</v>
      </c>
      <c r="J46" s="18">
        <f>C46-(E46*1080)</f>
        <v>2913.4813597232815</v>
      </c>
    </row>
    <row r="47" spans="1:16" ht="13.5" thickBot="1">
      <c r="A47" s="89"/>
      <c r="B47" s="82">
        <f>B46+7</f>
        <v>43191</v>
      </c>
      <c r="C47" s="20">
        <f>D46+G46-H46</f>
        <v>4538.0493068500873</v>
      </c>
      <c r="D47" s="17">
        <f>C47+(C47*0.04)</f>
        <v>4719.5712791240912</v>
      </c>
      <c r="E47" s="17">
        <f>C47/3250</f>
        <v>1.3963228636461806</v>
      </c>
      <c r="F47" s="28">
        <f>(D47-C47)/E47</f>
        <v>130.00000000000031</v>
      </c>
      <c r="G47" s="81"/>
      <c r="H47" s="81">
        <f>(D47-C34)*0.35</f>
        <v>620.10934401512861</v>
      </c>
      <c r="I47" s="19">
        <f>E47*50/C47</f>
        <v>1.5384615384615384E-2</v>
      </c>
      <c r="J47" s="18">
        <f>C47-(E47*1080)</f>
        <v>3030.0206141122121</v>
      </c>
      <c r="K47" s="90" t="s">
        <v>44</v>
      </c>
      <c r="L47" s="91"/>
      <c r="M47" s="91"/>
      <c r="N47" s="91"/>
      <c r="O47" s="91"/>
      <c r="P47" s="91"/>
    </row>
    <row r="48" spans="1:16" ht="13.5" thickBot="1">
      <c r="A48" s="79"/>
      <c r="B48" s="13"/>
      <c r="C48" s="22"/>
      <c r="D48" s="23"/>
      <c r="E48" s="23"/>
      <c r="F48" s="27"/>
      <c r="G48" s="23"/>
      <c r="H48" s="10"/>
      <c r="I48" s="24"/>
      <c r="J48" s="25"/>
    </row>
    <row r="49" spans="1:16">
      <c r="A49" s="87">
        <v>10</v>
      </c>
      <c r="B49" s="82">
        <f>B47+7</f>
        <v>43198</v>
      </c>
      <c r="C49" s="20">
        <f>D47+G47-H47</f>
        <v>4099.4619351089623</v>
      </c>
      <c r="D49" s="17">
        <f>C49+(C49*0.04)</f>
        <v>4263.4404125133206</v>
      </c>
      <c r="E49" s="17">
        <f>C49/3250</f>
        <v>1.2613729031104499</v>
      </c>
      <c r="F49" s="28">
        <f>(D49-C49)/E49</f>
        <v>129.99999999999983</v>
      </c>
      <c r="G49" s="18"/>
      <c r="H49" s="18"/>
      <c r="I49" s="19">
        <f>E49*50/C49</f>
        <v>1.5384615384615384E-2</v>
      </c>
      <c r="J49" s="18">
        <f>C49-(E49*1080)</f>
        <v>2737.1791997496766</v>
      </c>
    </row>
    <row r="50" spans="1:16">
      <c r="A50" s="88"/>
      <c r="B50" s="82">
        <f>B49+7</f>
        <v>43205</v>
      </c>
      <c r="C50" s="20">
        <f>D49+G49-H49</f>
        <v>4263.4404125133206</v>
      </c>
      <c r="D50" s="17">
        <f>C50+(C50*0.04)</f>
        <v>4433.9780290138533</v>
      </c>
      <c r="E50" s="17">
        <f>C50/3250</f>
        <v>1.3118278192348678</v>
      </c>
      <c r="F50" s="28">
        <f>(D50-C50)/E50</f>
        <v>129.99999999999994</v>
      </c>
      <c r="G50" s="18"/>
      <c r="H50" s="18"/>
      <c r="I50" s="19">
        <f>E50*50/C50</f>
        <v>1.5384615384615384E-2</v>
      </c>
      <c r="J50" s="18">
        <f>C50-(E50*1080)</f>
        <v>2846.6663677396637</v>
      </c>
    </row>
    <row r="51" spans="1:16">
      <c r="A51" s="88"/>
      <c r="B51" s="82">
        <f>B50+7</f>
        <v>43212</v>
      </c>
      <c r="C51" s="20">
        <f>D50+G50-H50</f>
        <v>4433.9780290138533</v>
      </c>
      <c r="D51" s="17">
        <f>C51+(C51*0.04)</f>
        <v>4611.3371501744077</v>
      </c>
      <c r="E51" s="17">
        <f>C51/3250</f>
        <v>1.3643009320042625</v>
      </c>
      <c r="F51" s="28">
        <f>(D51-C51)/E51</f>
        <v>130.00000000000023</v>
      </c>
      <c r="G51" s="18"/>
      <c r="H51" s="18"/>
      <c r="I51" s="19">
        <f>E51*50/C51</f>
        <v>1.5384615384615385E-2</v>
      </c>
      <c r="J51" s="18">
        <f>C51-(E51*1080)</f>
        <v>2960.53302244925</v>
      </c>
    </row>
    <row r="52" spans="1:16" ht="13.5" thickBot="1">
      <c r="A52" s="89"/>
      <c r="B52" s="82">
        <f>B51+7</f>
        <v>43219</v>
      </c>
      <c r="C52" s="20">
        <f>D51+G51-H51</f>
        <v>4611.3371501744077</v>
      </c>
      <c r="D52" s="17">
        <f>C52+(C52*0.04)</f>
        <v>4795.7906361813839</v>
      </c>
      <c r="E52" s="17">
        <f>C52/3250</f>
        <v>1.4188729692844331</v>
      </c>
      <c r="F52" s="28">
        <f>(D52-C52)/E52</f>
        <v>129.99999999999991</v>
      </c>
      <c r="G52" s="81"/>
      <c r="H52" s="81"/>
      <c r="I52" s="19">
        <f>E52*50/C52</f>
        <v>1.5384615384615384E-2</v>
      </c>
      <c r="J52" s="18">
        <f>C52-(E52*1080)</f>
        <v>3078.9543433472199</v>
      </c>
      <c r="K52" s="95"/>
      <c r="L52" s="96"/>
      <c r="M52" s="96"/>
      <c r="N52" s="96"/>
      <c r="O52" s="96"/>
      <c r="P52" s="96"/>
    </row>
    <row r="53" spans="1:16" ht="13.5" thickBot="1">
      <c r="A53" s="79"/>
      <c r="B53" s="13"/>
      <c r="C53" s="22"/>
      <c r="D53" s="23"/>
      <c r="E53" s="23"/>
      <c r="F53" s="27"/>
      <c r="G53" s="23"/>
      <c r="H53" s="10"/>
      <c r="I53" s="24"/>
      <c r="J53" s="25"/>
    </row>
    <row r="54" spans="1:16">
      <c r="A54" s="87">
        <v>11</v>
      </c>
      <c r="B54" s="82">
        <f>B52+7</f>
        <v>43226</v>
      </c>
      <c r="C54" s="20">
        <f>D52+G52-H52</f>
        <v>4795.7906361813839</v>
      </c>
      <c r="D54" s="17">
        <f>C54+(C54*0.04)</f>
        <v>4987.6222616286395</v>
      </c>
      <c r="E54" s="17">
        <f>C54/3250</f>
        <v>1.4756278880558105</v>
      </c>
      <c r="F54" s="28">
        <f>(D54-C54)/E54</f>
        <v>130.0000000000002</v>
      </c>
      <c r="G54" s="18"/>
      <c r="H54" s="18"/>
      <c r="I54" s="19">
        <f>E54*50/C54</f>
        <v>1.5384615384615385E-2</v>
      </c>
      <c r="J54" s="18">
        <f>C54-(E54*1080)</f>
        <v>3202.1125170811083</v>
      </c>
    </row>
    <row r="55" spans="1:16">
      <c r="A55" s="88"/>
      <c r="B55" s="82">
        <f>B54+7</f>
        <v>43233</v>
      </c>
      <c r="C55" s="20">
        <f>D54+G54-H54</f>
        <v>4987.6222616286395</v>
      </c>
      <c r="D55" s="17">
        <f>C55+(C55*0.04)</f>
        <v>5187.1271520937853</v>
      </c>
      <c r="E55" s="17">
        <f>C55/3250</f>
        <v>1.534653003578043</v>
      </c>
      <c r="F55" s="28">
        <f>(D55-C55)/E55</f>
        <v>130.00000000000011</v>
      </c>
      <c r="G55" s="18"/>
      <c r="H55" s="18"/>
      <c r="I55" s="19">
        <f>E55*50/C55</f>
        <v>1.5384615384615385E-2</v>
      </c>
      <c r="J55" s="18">
        <f>C55-(E55*1080)</f>
        <v>3330.1970177643534</v>
      </c>
    </row>
    <row r="56" spans="1:16">
      <c r="A56" s="88"/>
      <c r="B56" s="82">
        <f>B55+7</f>
        <v>43240</v>
      </c>
      <c r="C56" s="20">
        <f>D55+G55-H55</f>
        <v>5187.1271520937853</v>
      </c>
      <c r="D56" s="17">
        <f>C56+(C56*0.04)</f>
        <v>5394.6122381775367</v>
      </c>
      <c r="E56" s="17">
        <f>C56/3250</f>
        <v>1.5960391237211646</v>
      </c>
      <c r="F56" s="28">
        <f>(D56-C56)/E56</f>
        <v>130</v>
      </c>
      <c r="G56" s="18"/>
      <c r="H56" s="18"/>
      <c r="I56" s="19">
        <f>E56*50/C56</f>
        <v>1.5384615384615384E-2</v>
      </c>
      <c r="J56" s="18">
        <f>C56-(E56*1080)</f>
        <v>3463.4048984749274</v>
      </c>
    </row>
    <row r="57" spans="1:16" ht="13.5" thickBot="1">
      <c r="A57" s="89"/>
      <c r="B57" s="82">
        <f>B56+7</f>
        <v>43247</v>
      </c>
      <c r="C57" s="20">
        <f>D56+G56-H56</f>
        <v>5394.6122381775367</v>
      </c>
      <c r="D57" s="17">
        <f>C57+(C57*0.04)</f>
        <v>5610.3967277046386</v>
      </c>
      <c r="E57" s="17">
        <f>C57/3250</f>
        <v>1.6598806886700113</v>
      </c>
      <c r="F57" s="28">
        <f>(D57-C57)/E57</f>
        <v>130.00000000000026</v>
      </c>
      <c r="G57" s="81"/>
      <c r="H57" s="81"/>
      <c r="I57" s="19">
        <f>E57*50/C57</f>
        <v>1.5384615384615384E-2</v>
      </c>
      <c r="J57" s="18">
        <f>C57-(E57*1080)</f>
        <v>3601.9410944139245</v>
      </c>
      <c r="K57" s="95"/>
      <c r="L57" s="96"/>
      <c r="M57" s="96"/>
      <c r="N57" s="96"/>
      <c r="O57" s="96"/>
      <c r="P57" s="96"/>
    </row>
    <row r="58" spans="1:16" ht="13.5" thickBot="1">
      <c r="A58" s="79"/>
      <c r="B58" s="13"/>
      <c r="C58" s="22"/>
      <c r="D58" s="23"/>
      <c r="E58" s="23"/>
      <c r="F58" s="27"/>
      <c r="G58" s="23"/>
      <c r="H58" s="10"/>
      <c r="I58" s="24"/>
      <c r="J58" s="25"/>
    </row>
    <row r="59" spans="1:16">
      <c r="A59" s="87">
        <v>12</v>
      </c>
      <c r="B59" s="82">
        <f>B57+7</f>
        <v>43254</v>
      </c>
      <c r="C59" s="20">
        <f>D57+G57-H57</f>
        <v>5610.3967277046386</v>
      </c>
      <c r="D59" s="17">
        <f>C59+(C59*0.04)</f>
        <v>5834.8125968128243</v>
      </c>
      <c r="E59" s="17">
        <f>C59/3250</f>
        <v>1.726275916216812</v>
      </c>
      <c r="F59" s="28">
        <f>(D59-C59)/E59</f>
        <v>130.00000000000009</v>
      </c>
      <c r="G59" s="18"/>
      <c r="H59" s="18"/>
      <c r="I59" s="19">
        <f>E59*50/C59</f>
        <v>1.5384615384615385E-2</v>
      </c>
      <c r="J59" s="18">
        <f>C59-(E59*1080)</f>
        <v>3746.0187381904816</v>
      </c>
    </row>
    <row r="60" spans="1:16">
      <c r="A60" s="88"/>
      <c r="B60" s="82">
        <f>B59+7</f>
        <v>43261</v>
      </c>
      <c r="C60" s="20">
        <f>D59+G59-H59</f>
        <v>5834.8125968128243</v>
      </c>
      <c r="D60" s="17">
        <f>C60+(C60*0.04)</f>
        <v>6068.2051006853371</v>
      </c>
      <c r="E60" s="17">
        <f>C60/3250</f>
        <v>1.7953269528654845</v>
      </c>
      <c r="F60" s="28">
        <f>(D60-C60)/E60</f>
        <v>129.99999999999994</v>
      </c>
      <c r="G60" s="18"/>
      <c r="H60" s="18"/>
      <c r="I60" s="19">
        <f>E60*50/C60</f>
        <v>1.5384615384615387E-2</v>
      </c>
      <c r="J60" s="18">
        <f>C60-(E60*1080)</f>
        <v>3895.8594877181013</v>
      </c>
    </row>
    <row r="61" spans="1:16">
      <c r="A61" s="88"/>
      <c r="B61" s="82">
        <f>B60+7</f>
        <v>43268</v>
      </c>
      <c r="C61" s="20">
        <f>D60+G60-H60</f>
        <v>6068.2051006853371</v>
      </c>
      <c r="D61" s="17">
        <f>C61+(C61*0.04)</f>
        <v>6310.9333047127502</v>
      </c>
      <c r="E61" s="17">
        <f>C61/3250</f>
        <v>1.8671400309801038</v>
      </c>
      <c r="F61" s="28">
        <f>(D61-C61)/E61</f>
        <v>129.99999999999977</v>
      </c>
      <c r="G61" s="18"/>
      <c r="H61" s="18"/>
      <c r="I61" s="19">
        <f>E61*50/C61</f>
        <v>1.5384615384615385E-2</v>
      </c>
      <c r="J61" s="18">
        <f>C61-(E61*1080)</f>
        <v>4051.6938672268252</v>
      </c>
    </row>
    <row r="62" spans="1:16" ht="13.5" thickBot="1">
      <c r="A62" s="89"/>
      <c r="B62" s="82">
        <f>B61+7</f>
        <v>43275</v>
      </c>
      <c r="C62" s="20">
        <f>D61+G61-H61</f>
        <v>6310.9333047127502</v>
      </c>
      <c r="D62" s="17">
        <f>C62+(C62*0.04)</f>
        <v>6563.3706369012598</v>
      </c>
      <c r="E62" s="17">
        <f>C62/3250</f>
        <v>1.9418256322193077</v>
      </c>
      <c r="F62" s="28">
        <f>(D62-C62)/E62</f>
        <v>129.99999999999977</v>
      </c>
      <c r="G62" s="81"/>
      <c r="H62" s="81">
        <f>(D62-C49)*0.35</f>
        <v>862.36804562730413</v>
      </c>
      <c r="I62" s="19">
        <f>E62*50/C62</f>
        <v>1.5384615384615384E-2</v>
      </c>
      <c r="J62" s="18">
        <f>C62-(E62*1080)</f>
        <v>4213.7616219158981</v>
      </c>
      <c r="K62" s="90" t="s">
        <v>44</v>
      </c>
      <c r="L62" s="91"/>
      <c r="M62" s="91"/>
      <c r="N62" s="91"/>
      <c r="O62" s="91"/>
      <c r="P62" s="91"/>
    </row>
    <row r="63" spans="1:16" ht="13.5" thickBot="1">
      <c r="A63" s="79"/>
      <c r="B63" s="13"/>
      <c r="C63" s="22"/>
      <c r="D63" s="23"/>
      <c r="E63" s="23"/>
      <c r="F63" s="27"/>
      <c r="G63" s="23"/>
      <c r="H63" s="10"/>
      <c r="I63" s="24"/>
      <c r="J63" s="25"/>
    </row>
    <row r="64" spans="1:16">
      <c r="A64" s="87">
        <v>13</v>
      </c>
      <c r="B64" s="82">
        <f>B62+7</f>
        <v>43282</v>
      </c>
      <c r="C64" s="20">
        <f>D62+G62-H62</f>
        <v>5701.0025912739557</v>
      </c>
      <c r="D64" s="17">
        <f>C64+(C64*0.04)</f>
        <v>5929.042694924914</v>
      </c>
      <c r="E64" s="17">
        <f>C64/3250</f>
        <v>1.7541546434689095</v>
      </c>
      <c r="F64" s="28">
        <f>(D64-C64)/E64</f>
        <v>130.00000000000009</v>
      </c>
      <c r="G64" s="17"/>
      <c r="H64" s="80"/>
      <c r="I64" s="19">
        <f>E64*50/C64</f>
        <v>1.5384615384615385E-2</v>
      </c>
      <c r="J64" s="18">
        <f>C64-(E64*1080)</f>
        <v>3806.5155763275334</v>
      </c>
    </row>
    <row r="65" spans="1:16">
      <c r="A65" s="88"/>
      <c r="B65" s="82">
        <f>B64+7</f>
        <v>43289</v>
      </c>
      <c r="C65" s="20">
        <f>D64+G64-H64</f>
        <v>5929.042694924914</v>
      </c>
      <c r="D65" s="17">
        <f>C65+(C65*0.04)</f>
        <v>6166.2044027219108</v>
      </c>
      <c r="E65" s="17">
        <f>C65/3250</f>
        <v>1.8243208292076658</v>
      </c>
      <c r="F65" s="28">
        <f>(D65-C65)/E65</f>
        <v>130.00000000000011</v>
      </c>
      <c r="G65" s="17"/>
      <c r="H65" s="80"/>
      <c r="I65" s="19">
        <f>E65*50/C65</f>
        <v>1.5384615384615385E-2</v>
      </c>
      <c r="J65" s="18">
        <f>C65-(E65*1080)</f>
        <v>3958.7761993806353</v>
      </c>
    </row>
    <row r="66" spans="1:16">
      <c r="A66" s="88"/>
      <c r="B66" s="82">
        <f>B65+7</f>
        <v>43296</v>
      </c>
      <c r="C66" s="20">
        <f>D65+G65-H65</f>
        <v>6166.2044027219108</v>
      </c>
      <c r="D66" s="17">
        <f>C66+(C66*0.04)</f>
        <v>6412.852578830787</v>
      </c>
      <c r="E66" s="17">
        <f>C66/3250</f>
        <v>1.8972936623759726</v>
      </c>
      <c r="F66" s="28">
        <f>(D66-C66)/E66</f>
        <v>129.99999999999989</v>
      </c>
      <c r="G66" s="17"/>
      <c r="H66" s="80"/>
      <c r="I66" s="19">
        <f>E66*50/C66</f>
        <v>1.5384615384615385E-2</v>
      </c>
      <c r="J66" s="18">
        <f>C66-(E66*1080)</f>
        <v>4117.1272473558602</v>
      </c>
    </row>
    <row r="67" spans="1:16" ht="13.5" thickBot="1">
      <c r="A67" s="89"/>
      <c r="B67" s="82">
        <f>B66+7</f>
        <v>43303</v>
      </c>
      <c r="C67" s="20">
        <f>D66+G66-H66</f>
        <v>6412.852578830787</v>
      </c>
      <c r="D67" s="17">
        <f>C67+(C67*0.04)</f>
        <v>6669.3666819840182</v>
      </c>
      <c r="E67" s="17">
        <f>C67/3250</f>
        <v>1.9731854088710115</v>
      </c>
      <c r="F67" s="28">
        <f>(D67-C67)/E67</f>
        <v>129.99999999999986</v>
      </c>
      <c r="G67" s="81"/>
      <c r="H67" s="81"/>
      <c r="I67" s="19">
        <f>E67*50/C67</f>
        <v>1.5384615384615384E-2</v>
      </c>
      <c r="J67" s="18">
        <f>C67-(E67*1080)</f>
        <v>4281.8123372500941</v>
      </c>
      <c r="K67" s="95"/>
      <c r="L67" s="96"/>
      <c r="M67" s="96"/>
      <c r="N67" s="96"/>
      <c r="O67" s="96"/>
      <c r="P67" s="96"/>
    </row>
    <row r="68" spans="1:16" ht="13.5" thickBot="1">
      <c r="A68" s="79"/>
      <c r="B68" s="13"/>
      <c r="C68" s="22"/>
      <c r="D68" s="23"/>
      <c r="E68" s="23"/>
      <c r="F68" s="27"/>
      <c r="G68" s="23"/>
      <c r="H68" s="10"/>
      <c r="I68" s="24"/>
      <c r="J68" s="25"/>
    </row>
    <row r="69" spans="1:16">
      <c r="A69" s="87">
        <v>14</v>
      </c>
      <c r="B69" s="82">
        <f>B67+7</f>
        <v>43310</v>
      </c>
      <c r="C69" s="20">
        <f>D67+G67-H67</f>
        <v>6669.3666819840182</v>
      </c>
      <c r="D69" s="17">
        <f>C69+(C69*0.04)</f>
        <v>6936.1413492633792</v>
      </c>
      <c r="E69" s="17">
        <f>C69/3250</f>
        <v>2.0521128252258518</v>
      </c>
      <c r="F69" s="28">
        <f>(D69-C69)/E69</f>
        <v>130.00000000000011</v>
      </c>
      <c r="G69" s="18"/>
      <c r="H69" s="18"/>
      <c r="I69" s="19">
        <f>E69*50/C69</f>
        <v>1.5384615384615385E-2</v>
      </c>
      <c r="J69" s="18">
        <f>C69-(E69*1080)</f>
        <v>4453.0848307400984</v>
      </c>
    </row>
    <row r="70" spans="1:16">
      <c r="A70" s="88"/>
      <c r="B70" s="82">
        <f>B69+7</f>
        <v>43317</v>
      </c>
      <c r="C70" s="20">
        <f>D69+G69-H69</f>
        <v>6936.1413492633792</v>
      </c>
      <c r="D70" s="17">
        <f>C70+(C70*0.04)</f>
        <v>7213.5870032339144</v>
      </c>
      <c r="E70" s="17">
        <f>C70/3250</f>
        <v>2.1341973382348858</v>
      </c>
      <c r="F70" s="28">
        <f>(D70-C70)/E70</f>
        <v>130.00000000000003</v>
      </c>
      <c r="G70" s="18"/>
      <c r="H70" s="18"/>
      <c r="I70" s="19">
        <f>E70*50/C70</f>
        <v>1.5384615384615384E-2</v>
      </c>
      <c r="J70" s="18">
        <f>C70-(E70*1080)</f>
        <v>4631.2082239697029</v>
      </c>
    </row>
    <row r="71" spans="1:16">
      <c r="A71" s="88"/>
      <c r="B71" s="82">
        <f>B70+7</f>
        <v>43324</v>
      </c>
      <c r="C71" s="20">
        <f>D70+G70-H70</f>
        <v>7213.5870032339144</v>
      </c>
      <c r="D71" s="17">
        <f>C71+(C71*0.04)</f>
        <v>7502.1304833632712</v>
      </c>
      <c r="E71" s="17">
        <f>C71/3250</f>
        <v>2.2195652317642813</v>
      </c>
      <c r="F71" s="28">
        <f>(D71-C71)/E71</f>
        <v>130.00000000000011</v>
      </c>
      <c r="G71" s="18"/>
      <c r="H71" s="18"/>
      <c r="I71" s="19">
        <f>E71*50/C71</f>
        <v>1.5384615384615384E-2</v>
      </c>
      <c r="J71" s="18">
        <f>C71-(E71*1080)</f>
        <v>4816.4565529284901</v>
      </c>
    </row>
    <row r="72" spans="1:16" ht="13.5" thickBot="1">
      <c r="A72" s="89"/>
      <c r="B72" s="82">
        <f>B71+7</f>
        <v>43331</v>
      </c>
      <c r="C72" s="20">
        <f>D71+G71-H71</f>
        <v>7502.1304833632712</v>
      </c>
      <c r="D72" s="17">
        <f>C72+(C72*0.04)</f>
        <v>7802.215702697802</v>
      </c>
      <c r="E72" s="17">
        <f>C72/3250</f>
        <v>2.3083478410348528</v>
      </c>
      <c r="F72" s="28">
        <f>(D72-C72)/E72</f>
        <v>130</v>
      </c>
      <c r="G72" s="81"/>
      <c r="H72" s="81"/>
      <c r="I72" s="19">
        <f>E72*50/C72</f>
        <v>1.5384615384615385E-2</v>
      </c>
      <c r="J72" s="18">
        <f>C72-(E72*1080)</f>
        <v>5009.1148150456302</v>
      </c>
      <c r="K72" s="95"/>
      <c r="L72" s="96"/>
      <c r="M72" s="96"/>
      <c r="N72" s="96"/>
      <c r="O72" s="96"/>
      <c r="P72" s="96"/>
    </row>
    <row r="73" spans="1:16" ht="13.5" thickBot="1">
      <c r="A73" s="79"/>
      <c r="B73" s="13"/>
      <c r="C73" s="22"/>
      <c r="D73" s="23"/>
      <c r="E73" s="23"/>
      <c r="F73" s="27"/>
      <c r="G73" s="23"/>
      <c r="H73" s="10"/>
      <c r="I73" s="24"/>
      <c r="J73" s="25"/>
    </row>
    <row r="74" spans="1:16">
      <c r="A74" s="87">
        <v>15</v>
      </c>
      <c r="B74" s="82">
        <f>B72+7</f>
        <v>43338</v>
      </c>
      <c r="C74" s="20">
        <f>D72+G72-H72</f>
        <v>7802.215702697802</v>
      </c>
      <c r="D74" s="17">
        <f>C74+(C74*0.04)</f>
        <v>8114.304330805714</v>
      </c>
      <c r="E74" s="17">
        <f>C74/3250</f>
        <v>2.4006817546762469</v>
      </c>
      <c r="F74" s="28">
        <f>(D74-C74)/E74</f>
        <v>129.99999999999994</v>
      </c>
      <c r="G74" s="18"/>
      <c r="H74" s="18"/>
      <c r="I74" s="19">
        <f>E74*50/C74</f>
        <v>1.5384615384615385E-2</v>
      </c>
      <c r="J74" s="18">
        <f>C74-(E74*1080)</f>
        <v>5209.4794076474554</v>
      </c>
    </row>
    <row r="75" spans="1:16">
      <c r="A75" s="88"/>
      <c r="B75" s="82">
        <f>B74+7</f>
        <v>43345</v>
      </c>
      <c r="C75" s="20">
        <f>D74+G74-H74</f>
        <v>8114.304330805714</v>
      </c>
      <c r="D75" s="17">
        <f>C75+(C75*0.04)</f>
        <v>8438.8765040379421</v>
      </c>
      <c r="E75" s="17">
        <f>C75/3250</f>
        <v>2.4967090248632968</v>
      </c>
      <c r="F75" s="28">
        <f>(D75-C75)/E75</f>
        <v>129.9999999999998</v>
      </c>
      <c r="G75" s="18"/>
      <c r="H75" s="18"/>
      <c r="I75" s="19">
        <f>E75*50/C75</f>
        <v>1.5384615384615385E-2</v>
      </c>
      <c r="J75" s="18">
        <f>C75-(E75*1080)</f>
        <v>5417.8585839533534</v>
      </c>
    </row>
    <row r="76" spans="1:16">
      <c r="A76" s="88"/>
      <c r="B76" s="82">
        <f>B75+7</f>
        <v>43352</v>
      </c>
      <c r="C76" s="20">
        <f>D75+G75-H75</f>
        <v>8438.8765040379421</v>
      </c>
      <c r="D76" s="17">
        <f>C76+(C76*0.04)</f>
        <v>8776.4315641994599</v>
      </c>
      <c r="E76" s="17">
        <f>C76/3250</f>
        <v>2.5965773858578283</v>
      </c>
      <c r="F76" s="28">
        <f>(D76-C76)/E76</f>
        <v>130.00000000000003</v>
      </c>
      <c r="G76" s="18"/>
      <c r="H76" s="18"/>
      <c r="I76" s="19">
        <f>E76*50/C76</f>
        <v>1.5384615384615385E-2</v>
      </c>
      <c r="J76" s="18">
        <f>C76-(E76*1080)</f>
        <v>5634.5729273114875</v>
      </c>
    </row>
    <row r="77" spans="1:16" ht="13.5" thickBot="1">
      <c r="A77" s="89"/>
      <c r="B77" s="82">
        <f>B76+7</f>
        <v>43359</v>
      </c>
      <c r="C77" s="20">
        <f>D76+G76-H76</f>
        <v>8776.4315641994599</v>
      </c>
      <c r="D77" s="17">
        <f>C77+(C77*0.04)</f>
        <v>9127.4888267674378</v>
      </c>
      <c r="E77" s="17">
        <f>C77/3250</f>
        <v>2.7004404812921416</v>
      </c>
      <c r="F77" s="28">
        <f>(D77-C77)/E77</f>
        <v>129.9999999999998</v>
      </c>
      <c r="G77" s="81"/>
      <c r="H77" s="81">
        <f>(D77-C64)*0.35</f>
        <v>1199.2701824227186</v>
      </c>
      <c r="I77" s="19">
        <f>E77*50/C77</f>
        <v>1.5384615384615385E-2</v>
      </c>
      <c r="J77" s="18">
        <f>C77-(E77*1080)</f>
        <v>5859.9558444039467</v>
      </c>
      <c r="K77" s="90" t="s">
        <v>44</v>
      </c>
      <c r="L77" s="91"/>
      <c r="M77" s="91"/>
      <c r="N77" s="91"/>
      <c r="O77" s="91"/>
      <c r="P77" s="91"/>
    </row>
    <row r="78" spans="1:16" ht="13.5" thickBot="1">
      <c r="A78" s="79"/>
      <c r="B78" s="13"/>
      <c r="C78" s="22"/>
      <c r="D78" s="23"/>
      <c r="E78" s="23"/>
      <c r="F78" s="27"/>
      <c r="G78" s="23"/>
      <c r="H78" s="10"/>
      <c r="I78" s="24"/>
      <c r="J78" s="25"/>
    </row>
    <row r="79" spans="1:16">
      <c r="A79" s="87">
        <v>16</v>
      </c>
      <c r="B79" s="82">
        <f>B77+7</f>
        <v>43366</v>
      </c>
      <c r="C79" s="20">
        <f>D77+G77-H77</f>
        <v>7928.218644344719</v>
      </c>
      <c r="D79" s="17">
        <f>C79+(C79*0.04)</f>
        <v>8245.347390118508</v>
      </c>
      <c r="E79" s="17">
        <f>C79/3250</f>
        <v>2.4394518905676059</v>
      </c>
      <c r="F79" s="28">
        <f>(D79-C79)/E79</f>
        <v>130.00000000000009</v>
      </c>
      <c r="G79" s="18"/>
      <c r="H79" s="18"/>
      <c r="I79" s="19">
        <f>E79*50/C79</f>
        <v>1.5384615384615385E-2</v>
      </c>
      <c r="J79" s="18">
        <f>C79-(E79*1080)</f>
        <v>5293.610602531704</v>
      </c>
    </row>
    <row r="80" spans="1:16">
      <c r="A80" s="88"/>
      <c r="B80" s="82">
        <f>B79+7</f>
        <v>43373</v>
      </c>
      <c r="C80" s="20">
        <f>D79+G79-H79</f>
        <v>8245.347390118508</v>
      </c>
      <c r="D80" s="17">
        <f>C80+(C80*0.04)</f>
        <v>8575.1612857232485</v>
      </c>
      <c r="E80" s="17">
        <f>C80/3250</f>
        <v>2.53702996619031</v>
      </c>
      <c r="F80" s="28">
        <f>(D80-C80)/E80</f>
        <v>130.00000000000009</v>
      </c>
      <c r="G80" s="18"/>
      <c r="H80" s="18"/>
      <c r="I80" s="19">
        <f>E80*50/C80</f>
        <v>1.5384615384615382E-2</v>
      </c>
      <c r="J80" s="18">
        <f>C80-(E80*1080)</f>
        <v>5505.355026632973</v>
      </c>
    </row>
    <row r="81" spans="1:16">
      <c r="A81" s="88"/>
      <c r="B81" s="82">
        <f>B80+7</f>
        <v>43380</v>
      </c>
      <c r="C81" s="20">
        <f>D80+G80-H80</f>
        <v>8575.1612857232485</v>
      </c>
      <c r="D81" s="17">
        <f>C81+(C81*0.04)</f>
        <v>8918.1677371521782</v>
      </c>
      <c r="E81" s="17">
        <f>C81/3250</f>
        <v>2.6385111648379227</v>
      </c>
      <c r="F81" s="28">
        <f>(D81-C81)/E81</f>
        <v>129.99999999999991</v>
      </c>
      <c r="G81" s="18"/>
      <c r="H81" s="18"/>
      <c r="I81" s="19">
        <f>E81*50/C81</f>
        <v>1.5384615384615385E-2</v>
      </c>
      <c r="J81" s="18">
        <f>C81-(E81*1080)</f>
        <v>5725.5692276982918</v>
      </c>
    </row>
    <row r="82" spans="1:16" ht="13.5" thickBot="1">
      <c r="A82" s="89"/>
      <c r="B82" s="82">
        <f>B81+7</f>
        <v>43387</v>
      </c>
      <c r="C82" s="20">
        <f>D81+G81-H81</f>
        <v>8918.1677371521782</v>
      </c>
      <c r="D82" s="17">
        <f>C82+(C82*0.04)</f>
        <v>9274.8944466382654</v>
      </c>
      <c r="E82" s="17">
        <f>C82/3250</f>
        <v>2.7440516114314395</v>
      </c>
      <c r="F82" s="28">
        <f>(D82-C82)/E82</f>
        <v>130.00000000000003</v>
      </c>
      <c r="G82" s="81"/>
      <c r="H82" s="81"/>
      <c r="I82" s="19">
        <f>E82*50/C82</f>
        <v>1.5384615384615385E-2</v>
      </c>
      <c r="J82" s="18">
        <f>C82-(E82*1080)</f>
        <v>5954.5919968062235</v>
      </c>
      <c r="K82" s="95"/>
      <c r="L82" s="96"/>
      <c r="M82" s="96"/>
      <c r="N82" s="96"/>
      <c r="O82" s="96"/>
      <c r="P82" s="96"/>
    </row>
    <row r="83" spans="1:16" ht="13.5" thickBot="1">
      <c r="A83" s="79"/>
      <c r="B83" s="13"/>
      <c r="C83" s="22"/>
      <c r="D83" s="23"/>
      <c r="E83" s="23"/>
      <c r="F83" s="27"/>
      <c r="G83" s="23"/>
      <c r="H83" s="10"/>
      <c r="I83" s="24"/>
      <c r="J83" s="25"/>
    </row>
    <row r="84" spans="1:16">
      <c r="A84" s="87">
        <v>17</v>
      </c>
      <c r="B84" s="82">
        <f>B82+7</f>
        <v>43394</v>
      </c>
      <c r="C84" s="20">
        <f>D82+G82-H82</f>
        <v>9274.8944466382654</v>
      </c>
      <c r="D84" s="17">
        <f>C84+(C84*0.04)</f>
        <v>9645.8902245037953</v>
      </c>
      <c r="E84" s="17">
        <f>C84/3250</f>
        <v>2.8538136758886972</v>
      </c>
      <c r="F84" s="28">
        <f>(D84-C84)/E84</f>
        <v>129.99999999999972</v>
      </c>
      <c r="G84" s="18"/>
      <c r="H84" s="18"/>
      <c r="I84" s="19">
        <f>E84*50/C84</f>
        <v>1.5384615384615384E-2</v>
      </c>
      <c r="J84" s="18">
        <f>C84-(E84*1080)</f>
        <v>6192.7756766784723</v>
      </c>
    </row>
    <row r="85" spans="1:16">
      <c r="A85" s="88"/>
      <c r="B85" s="82">
        <f>B84+7</f>
        <v>43401</v>
      </c>
      <c r="C85" s="20">
        <f>D84+G84-H84</f>
        <v>9645.8902245037953</v>
      </c>
      <c r="D85" s="17">
        <f>C85+(C85*0.04)</f>
        <v>10031.725833483946</v>
      </c>
      <c r="E85" s="17">
        <f>C85/3250</f>
        <v>2.9679662229242445</v>
      </c>
      <c r="F85" s="28">
        <f>(D85-C85)/E85</f>
        <v>129.99999999999972</v>
      </c>
      <c r="G85" s="18"/>
      <c r="H85" s="18"/>
      <c r="I85" s="19">
        <f>E85*50/C85</f>
        <v>1.5384615384615384E-2</v>
      </c>
      <c r="J85" s="18">
        <f>C85-(E85*1080)</f>
        <v>6440.4867037456115</v>
      </c>
      <c r="K85" s="31"/>
      <c r="L85" s="31"/>
    </row>
    <row r="86" spans="1:16">
      <c r="A86" s="88"/>
      <c r="B86" s="82">
        <f>B85+7</f>
        <v>43408</v>
      </c>
      <c r="C86" s="20">
        <f>D85+G85-H85</f>
        <v>10031.725833483946</v>
      </c>
      <c r="D86" s="17">
        <f>C86+(C86*0.04)</f>
        <v>10432.994866823305</v>
      </c>
      <c r="E86" s="17">
        <f>C86/3250</f>
        <v>3.0866848718412143</v>
      </c>
      <c r="F86" s="28">
        <f>(D86-C86)/E86</f>
        <v>130.00000000000017</v>
      </c>
      <c r="G86" s="18"/>
      <c r="H86" s="18"/>
      <c r="I86" s="19">
        <f>E86*50/C86</f>
        <v>1.5384615384615385E-2</v>
      </c>
      <c r="J86" s="18">
        <f>C86-(E86*1080)</f>
        <v>6698.1061718954352</v>
      </c>
      <c r="K86" s="31"/>
      <c r="L86" s="31"/>
    </row>
    <row r="87" spans="1:16" ht="13.5" thickBot="1">
      <c r="A87" s="89"/>
      <c r="B87" s="82">
        <f>B86+7</f>
        <v>43415</v>
      </c>
      <c r="C87" s="20">
        <f>D86+G86-H86</f>
        <v>10432.994866823305</v>
      </c>
      <c r="D87" s="17">
        <f>C87+(C87*0.04)</f>
        <v>10850.314661496237</v>
      </c>
      <c r="E87" s="17">
        <f>C87/3250</f>
        <v>3.210152266714863</v>
      </c>
      <c r="F87" s="28">
        <f>(D87-C87)/E87</f>
        <v>130.00000000000006</v>
      </c>
      <c r="G87" s="81"/>
      <c r="H87" s="81"/>
      <c r="I87" s="19">
        <f>E87*50/C87</f>
        <v>1.5384615384615384E-2</v>
      </c>
      <c r="J87" s="18">
        <f>C87-(E87*1080)</f>
        <v>6966.0304187712527</v>
      </c>
      <c r="K87" s="95"/>
      <c r="L87" s="96"/>
      <c r="M87" s="96"/>
      <c r="N87" s="96"/>
      <c r="O87" s="96"/>
      <c r="P87" s="96"/>
    </row>
    <row r="88" spans="1:16" ht="13.5" thickBot="1">
      <c r="A88" s="79"/>
      <c r="B88" s="13"/>
      <c r="C88" s="22"/>
      <c r="D88" s="23"/>
      <c r="E88" s="23"/>
      <c r="F88" s="27"/>
      <c r="G88" s="23"/>
      <c r="H88" s="10"/>
      <c r="I88" s="24"/>
      <c r="J88" s="25"/>
    </row>
    <row r="89" spans="1:16">
      <c r="A89" s="87">
        <v>18</v>
      </c>
      <c r="B89" s="82">
        <f>B87+7</f>
        <v>43422</v>
      </c>
      <c r="C89" s="20">
        <f>D87+G87-H87</f>
        <v>10850.314661496237</v>
      </c>
      <c r="D89" s="17">
        <f>C89+(C89*0.04)</f>
        <v>11284.327247956087</v>
      </c>
      <c r="E89" s="17">
        <f>C89/3250</f>
        <v>3.3385583573834574</v>
      </c>
      <c r="F89" s="28">
        <f>(D89-C89)/E89</f>
        <v>130.00000000000026</v>
      </c>
      <c r="G89" s="18"/>
      <c r="H89" s="18"/>
      <c r="I89" s="19">
        <f>E89*50/C89</f>
        <v>1.5384615384615384E-2</v>
      </c>
      <c r="J89" s="18">
        <f>C89-(E89*1080)</f>
        <v>7244.6716355221033</v>
      </c>
    </row>
    <row r="90" spans="1:16">
      <c r="A90" s="88"/>
      <c r="B90" s="82">
        <f>B89+7</f>
        <v>43429</v>
      </c>
      <c r="C90" s="20">
        <f>D89+G89-H89</f>
        <v>11284.327247956087</v>
      </c>
      <c r="D90" s="17">
        <f>C90+(C90*0.04)</f>
        <v>11735.70033787433</v>
      </c>
      <c r="E90" s="17">
        <f>C90/3250</f>
        <v>3.4721006916787962</v>
      </c>
      <c r="F90" s="28">
        <f>(D90-C90)/E90</f>
        <v>129.9999999999998</v>
      </c>
      <c r="G90" s="18"/>
      <c r="H90" s="18"/>
      <c r="I90" s="19">
        <f>E90*50/C90</f>
        <v>1.5384615384615385E-2</v>
      </c>
      <c r="J90" s="18">
        <f>C90-(E90*1080)</f>
        <v>7534.4585009429875</v>
      </c>
    </row>
    <row r="91" spans="1:16">
      <c r="A91" s="88"/>
      <c r="B91" s="82">
        <f>B90+7</f>
        <v>43436</v>
      </c>
      <c r="C91" s="20">
        <f>D90+G90-H90</f>
        <v>11735.70033787433</v>
      </c>
      <c r="D91" s="17">
        <f>C91+(C91*0.04)</f>
        <v>12205.128351389303</v>
      </c>
      <c r="E91" s="17">
        <f>C91/3250</f>
        <v>3.6109847193459479</v>
      </c>
      <c r="F91" s="28">
        <f>(D91-C91)/E91</f>
        <v>129.99999999999991</v>
      </c>
      <c r="G91" s="18"/>
      <c r="H91" s="18"/>
      <c r="I91" s="19">
        <f>E91*50/C91</f>
        <v>1.5384615384615385E-2</v>
      </c>
      <c r="J91" s="18">
        <f>C91-(E91*1080)</f>
        <v>7835.8368409807063</v>
      </c>
    </row>
    <row r="92" spans="1:16" ht="13.5" thickBot="1">
      <c r="A92" s="89"/>
      <c r="B92" s="82">
        <f>B91+7</f>
        <v>43443</v>
      </c>
      <c r="C92" s="20">
        <f>D91+G91-H91</f>
        <v>12205.128351389303</v>
      </c>
      <c r="D92" s="17">
        <f>C92+(C92*0.04)</f>
        <v>12693.333485444875</v>
      </c>
      <c r="E92" s="17">
        <f>C92/3250</f>
        <v>3.7554241081197857</v>
      </c>
      <c r="F92" s="28">
        <f>(D92-C92)/E92</f>
        <v>129.99999999999989</v>
      </c>
      <c r="G92" s="81"/>
      <c r="H92" s="81">
        <f>(D92-C79)*0.35</f>
        <v>1667.7901943850545</v>
      </c>
      <c r="I92" s="19">
        <f>E92*50/C92</f>
        <v>1.5384615384615385E-2</v>
      </c>
      <c r="J92" s="18">
        <f>C92-(E92*1080)</f>
        <v>8149.2703146199347</v>
      </c>
      <c r="K92" s="90" t="s">
        <v>44</v>
      </c>
      <c r="L92" s="91"/>
      <c r="M92" s="91"/>
      <c r="N92" s="91"/>
      <c r="O92" s="91"/>
      <c r="P92" s="91"/>
    </row>
    <row r="93" spans="1:16" ht="13.5" thickBot="1">
      <c r="A93" s="79"/>
      <c r="B93" s="13"/>
      <c r="C93" s="22"/>
      <c r="D93" s="23"/>
      <c r="E93" s="23"/>
      <c r="F93" s="27"/>
      <c r="G93" s="23"/>
      <c r="H93" s="10"/>
      <c r="I93" s="24"/>
      <c r="J93" s="25"/>
    </row>
    <row r="94" spans="1:16">
      <c r="A94" s="87">
        <v>19</v>
      </c>
      <c r="B94" s="82">
        <f>B92+7</f>
        <v>43450</v>
      </c>
      <c r="C94" s="20">
        <f>D92+G92-H92</f>
        <v>11025.543291059821</v>
      </c>
      <c r="D94" s="17">
        <f>C94+(C94*0.04)</f>
        <v>11466.565022702214</v>
      </c>
      <c r="E94" s="17">
        <f>C94/3250</f>
        <v>3.3924748587876374</v>
      </c>
      <c r="F94" s="28">
        <f>(D94-C94)/E94</f>
        <v>130.00000000000011</v>
      </c>
      <c r="G94" s="17"/>
      <c r="H94" s="18"/>
      <c r="I94" s="19">
        <f>E94*50/C94</f>
        <v>1.5384615384615387E-2</v>
      </c>
      <c r="J94" s="18">
        <f>C94-(E94*1080)</f>
        <v>7361.6704435691727</v>
      </c>
    </row>
    <row r="95" spans="1:16">
      <c r="A95" s="88"/>
      <c r="B95" s="82">
        <f>B94+7</f>
        <v>43457</v>
      </c>
      <c r="C95" s="20">
        <f>D94+G94-H94</f>
        <v>11466.565022702214</v>
      </c>
      <c r="D95" s="17">
        <f>C95+(C95*0.04)</f>
        <v>11925.227623610303</v>
      </c>
      <c r="E95" s="17">
        <f>C95/3250</f>
        <v>3.5281738531391427</v>
      </c>
      <c r="F95" s="28">
        <f>(D95-C95)/E95</f>
        <v>129.99999999999991</v>
      </c>
      <c r="G95" s="17"/>
      <c r="H95" s="18"/>
      <c r="I95" s="19">
        <f>E95*50/C95</f>
        <v>1.5384615384615384E-2</v>
      </c>
      <c r="J95" s="18">
        <f>C95-(E95*1080)</f>
        <v>7656.1372613119402</v>
      </c>
    </row>
    <row r="96" spans="1:16">
      <c r="A96" s="88"/>
      <c r="B96" s="82">
        <f>B95+7</f>
        <v>43464</v>
      </c>
      <c r="C96" s="20">
        <f>D95+G95-H95</f>
        <v>11925.227623610303</v>
      </c>
      <c r="D96" s="17">
        <f>C96+(C96*0.04)</f>
        <v>12402.236728554715</v>
      </c>
      <c r="E96" s="17">
        <f>C96/3250</f>
        <v>3.6693008072647086</v>
      </c>
      <c r="F96" s="28">
        <f>(D96-C96)/E96</f>
        <v>130.00000000000014</v>
      </c>
      <c r="G96" s="17"/>
      <c r="H96" s="18"/>
      <c r="I96" s="19">
        <f>E96*50/C96</f>
        <v>1.5384615384615385E-2</v>
      </c>
      <c r="J96" s="18">
        <f>C96-(E96*1080)</f>
        <v>7962.3827517644168</v>
      </c>
    </row>
    <row r="97" spans="1:16" ht="13.5" thickBot="1">
      <c r="A97" s="89"/>
      <c r="B97" s="82">
        <f>B96+7</f>
        <v>43471</v>
      </c>
      <c r="C97" s="20">
        <f>D96+G96-H96</f>
        <v>12402.236728554715</v>
      </c>
      <c r="D97" s="17">
        <f>C97+(C97*0.04)</f>
        <v>12898.326197696904</v>
      </c>
      <c r="E97" s="17">
        <f>C97/3250</f>
        <v>3.816072839555297</v>
      </c>
      <c r="F97" s="28">
        <f>(D97-C97)/E97</f>
        <v>130.00000000000011</v>
      </c>
      <c r="G97" s="81"/>
      <c r="H97" s="81"/>
      <c r="I97" s="19">
        <f>E97*50/C97</f>
        <v>1.5384615384615384E-2</v>
      </c>
      <c r="J97" s="18">
        <f>C97-(E97*1080)</f>
        <v>8280.8780618349956</v>
      </c>
      <c r="K97" s="95"/>
      <c r="L97" s="96"/>
      <c r="M97" s="96"/>
      <c r="N97" s="96"/>
      <c r="O97" s="96"/>
      <c r="P97" s="96"/>
    </row>
    <row r="98" spans="1:16" ht="13.5" thickBot="1">
      <c r="A98" s="79"/>
      <c r="B98" s="13"/>
      <c r="C98" s="22"/>
      <c r="D98" s="23"/>
      <c r="E98" s="23"/>
      <c r="F98" s="27"/>
      <c r="G98" s="23"/>
      <c r="H98" s="10"/>
      <c r="I98" s="24"/>
      <c r="J98" s="25"/>
    </row>
    <row r="99" spans="1:16">
      <c r="A99" s="87">
        <v>20</v>
      </c>
      <c r="B99" s="82">
        <f>B97+7</f>
        <v>43478</v>
      </c>
      <c r="C99" s="20">
        <f>D97+G97-H97</f>
        <v>12898.326197696904</v>
      </c>
      <c r="D99" s="17">
        <f>C99+(C99*0.04)</f>
        <v>13414.259245604781</v>
      </c>
      <c r="E99" s="17">
        <f>C99/3250</f>
        <v>3.9687157531375088</v>
      </c>
      <c r="F99" s="28">
        <f>(D99-C99)/E99</f>
        <v>130.00000000000003</v>
      </c>
      <c r="G99" s="18"/>
      <c r="H99" s="18"/>
      <c r="I99" s="19">
        <f>E99*50/C99</f>
        <v>1.5384615384615384E-2</v>
      </c>
      <c r="J99" s="18">
        <f>C99-(E99*1080)</f>
        <v>8612.1131843083949</v>
      </c>
    </row>
    <row r="100" spans="1:16">
      <c r="A100" s="88"/>
      <c r="B100" s="82">
        <f>B99+7</f>
        <v>43485</v>
      </c>
      <c r="C100" s="20">
        <f>D99+G99-H99</f>
        <v>13414.259245604781</v>
      </c>
      <c r="D100" s="17">
        <f>C100+(C100*0.04)</f>
        <v>13950.829615428971</v>
      </c>
      <c r="E100" s="17">
        <f>C100/3250</f>
        <v>4.1274643832630096</v>
      </c>
      <c r="F100" s="28">
        <f>(D100-C100)/E100</f>
        <v>129.99999999999983</v>
      </c>
      <c r="G100" s="18"/>
      <c r="H100" s="18"/>
      <c r="I100" s="19">
        <f>E100*50/C100</f>
        <v>1.5384615384615385E-2</v>
      </c>
      <c r="J100" s="18">
        <f>C100-(E100*1080)</f>
        <v>8956.5977116807298</v>
      </c>
    </row>
    <row r="101" spans="1:16">
      <c r="A101" s="88"/>
      <c r="B101" s="82">
        <f>B100+7</f>
        <v>43492</v>
      </c>
      <c r="C101" s="20">
        <f>D100+G100-H100</f>
        <v>13950.829615428971</v>
      </c>
      <c r="D101" s="17">
        <f>C101+(C101*0.04)</f>
        <v>14508.86280004613</v>
      </c>
      <c r="E101" s="17">
        <f>C101/3250</f>
        <v>4.2925629585935292</v>
      </c>
      <c r="F101" s="28">
        <f>(D101-C101)/E101</f>
        <v>130.00000000000014</v>
      </c>
      <c r="G101" s="18"/>
      <c r="H101" s="18"/>
      <c r="I101" s="19">
        <f>E101*50/C101</f>
        <v>1.5384615384615384E-2</v>
      </c>
      <c r="J101" s="18">
        <f>C101-(E101*1080)</f>
        <v>9314.8616201479599</v>
      </c>
    </row>
    <row r="102" spans="1:16" ht="13.5" thickBot="1">
      <c r="A102" s="89"/>
      <c r="B102" s="82">
        <f>B101+7</f>
        <v>43499</v>
      </c>
      <c r="C102" s="20">
        <f>D101+G101-H101</f>
        <v>14508.86280004613</v>
      </c>
      <c r="D102" s="17">
        <f>C102+(C102*0.04)</f>
        <v>15089.217312047975</v>
      </c>
      <c r="E102" s="17">
        <f>C102/3250</f>
        <v>4.4642654769372712</v>
      </c>
      <c r="F102" s="28">
        <f>(D102-C102)/E102</f>
        <v>129.9999999999998</v>
      </c>
      <c r="G102" s="81"/>
      <c r="H102" s="81"/>
      <c r="I102" s="19">
        <f>E102*50/C102</f>
        <v>1.5384615384615385E-2</v>
      </c>
      <c r="J102" s="18">
        <f>C102-(E102*1080)</f>
        <v>9687.4560849538775</v>
      </c>
      <c r="K102" s="95"/>
      <c r="L102" s="96"/>
      <c r="M102" s="96"/>
      <c r="N102" s="96"/>
      <c r="O102" s="96"/>
      <c r="P102" s="96"/>
    </row>
    <row r="103" spans="1:16" ht="13.5" thickBot="1">
      <c r="A103" s="79"/>
      <c r="B103" s="13"/>
      <c r="C103" s="22"/>
      <c r="D103" s="23"/>
      <c r="E103" s="23"/>
      <c r="F103" s="27"/>
      <c r="G103" s="23"/>
      <c r="H103" s="10"/>
      <c r="I103" s="24"/>
      <c r="J103" s="25"/>
    </row>
    <row r="104" spans="1:16">
      <c r="A104" s="87">
        <v>21</v>
      </c>
      <c r="B104" s="82">
        <f>B102+7</f>
        <v>43506</v>
      </c>
      <c r="C104" s="20">
        <f>D102+G102-H102</f>
        <v>15089.217312047975</v>
      </c>
      <c r="D104" s="17">
        <f>C104+(C104*0.04)</f>
        <v>15692.786004529893</v>
      </c>
      <c r="E104" s="17">
        <f>C104/3250</f>
        <v>4.6428360960147614</v>
      </c>
      <c r="F104" s="28">
        <f>(D104-C104)/E104</f>
        <v>129.99999999999986</v>
      </c>
      <c r="G104" s="18"/>
      <c r="H104" s="18"/>
      <c r="I104" s="19">
        <f>E104*50/C104</f>
        <v>1.5384615384615384E-2</v>
      </c>
      <c r="J104" s="18">
        <f>C104-(E104*1080)</f>
        <v>10074.954328352032</v>
      </c>
    </row>
    <row r="105" spans="1:16">
      <c r="A105" s="88"/>
      <c r="B105" s="82">
        <f>B104+7</f>
        <v>43513</v>
      </c>
      <c r="C105" s="20">
        <f>D104+G104-H104</f>
        <v>15692.786004529893</v>
      </c>
      <c r="D105" s="17">
        <f>C105+(C105*0.04)</f>
        <v>16320.497444711089</v>
      </c>
      <c r="E105" s="17">
        <f>C105/3250</f>
        <v>4.8285495398553513</v>
      </c>
      <c r="F105" s="28">
        <f>(D105-C105)/E105</f>
        <v>130.00000000000006</v>
      </c>
      <c r="G105" s="18"/>
      <c r="H105" s="18"/>
      <c r="I105" s="19">
        <f>E105*50/C105</f>
        <v>1.5384615384615384E-2</v>
      </c>
      <c r="J105" s="18">
        <f>C105-(E105*1080)</f>
        <v>10477.952501486114</v>
      </c>
    </row>
    <row r="106" spans="1:16">
      <c r="A106" s="88"/>
      <c r="B106" s="82">
        <f>B105+7</f>
        <v>43520</v>
      </c>
      <c r="C106" s="20">
        <f>D105+G105-H105</f>
        <v>16320.497444711089</v>
      </c>
      <c r="D106" s="17">
        <f>C106+(C106*0.04)</f>
        <v>16973.317342499533</v>
      </c>
      <c r="E106" s="17">
        <f>C106/3250</f>
        <v>5.0216915214495659</v>
      </c>
      <c r="F106" s="28">
        <f>(D106-C106)/E106</f>
        <v>130.00000000000009</v>
      </c>
      <c r="G106" s="18"/>
      <c r="H106" s="18"/>
      <c r="I106" s="19">
        <f>E106*50/C106</f>
        <v>1.5384615384615384E-2</v>
      </c>
      <c r="J106" s="18">
        <f>C106-(E106*1080)</f>
        <v>10897.070601545558</v>
      </c>
    </row>
    <row r="107" spans="1:16" ht="13.5" thickBot="1">
      <c r="A107" s="89"/>
      <c r="B107" s="82">
        <f>B106+7</f>
        <v>43527</v>
      </c>
      <c r="C107" s="20">
        <f>D106+G106-H106</f>
        <v>16973.317342499533</v>
      </c>
      <c r="D107" s="17">
        <f>C107+(C107*0.04)</f>
        <v>17652.250036199515</v>
      </c>
      <c r="E107" s="17">
        <f>C107/3250</f>
        <v>5.222559182307549</v>
      </c>
      <c r="F107" s="28">
        <f>(D107-C107)/E107</f>
        <v>130.0000000000002</v>
      </c>
      <c r="G107" s="81"/>
      <c r="H107" s="81">
        <f>(D107-C94)*0.35</f>
        <v>2319.3473607988926</v>
      </c>
      <c r="I107" s="19">
        <f>E107*50/C107</f>
        <v>1.5384615384615385E-2</v>
      </c>
      <c r="J107" s="18">
        <f>C107-(E107*1080)</f>
        <v>11332.95342560738</v>
      </c>
      <c r="K107" s="90" t="s">
        <v>44</v>
      </c>
      <c r="L107" s="91"/>
      <c r="M107" s="91"/>
      <c r="N107" s="91"/>
      <c r="O107" s="91"/>
      <c r="P107" s="91"/>
    </row>
    <row r="108" spans="1:16" ht="13.5" thickBot="1">
      <c r="A108" s="79"/>
      <c r="B108" s="13"/>
      <c r="C108" s="22"/>
      <c r="D108" s="23"/>
      <c r="E108" s="23"/>
      <c r="F108" s="27"/>
      <c r="G108" s="23"/>
      <c r="H108" s="10"/>
      <c r="I108" s="24"/>
      <c r="J108" s="25"/>
    </row>
    <row r="109" spans="1:16">
      <c r="A109" s="87">
        <v>22</v>
      </c>
      <c r="B109" s="82">
        <f>B107+7</f>
        <v>43534</v>
      </c>
      <c r="C109" s="20">
        <f>D107+G107-H107</f>
        <v>15332.902675400623</v>
      </c>
      <c r="D109" s="17">
        <f>C109+(C109*0.04)</f>
        <v>15946.218782416647</v>
      </c>
      <c r="E109" s="17">
        <f>C109/3250</f>
        <v>4.7178162078155763</v>
      </c>
      <c r="F109" s="28">
        <f>(D109-C109)/E109</f>
        <v>129.9999999999998</v>
      </c>
      <c r="G109" s="18"/>
      <c r="H109" s="18"/>
      <c r="I109" s="19">
        <f>E109*50/C109</f>
        <v>1.5384615384615385E-2</v>
      </c>
      <c r="J109" s="18">
        <f>C109-(E109*1080)</f>
        <v>10237.6611709598</v>
      </c>
    </row>
    <row r="110" spans="1:16">
      <c r="A110" s="88"/>
      <c r="B110" s="82">
        <f>B109+7</f>
        <v>43541</v>
      </c>
      <c r="C110" s="20">
        <f>D109+G109-H109</f>
        <v>15946.218782416647</v>
      </c>
      <c r="D110" s="17">
        <f>C110+(C110*0.04)</f>
        <v>16584.067533713314</v>
      </c>
      <c r="E110" s="17">
        <f>C110/3250</f>
        <v>4.9065288561281992</v>
      </c>
      <c r="F110" s="28">
        <f>(D110-C110)/E110</f>
        <v>130.00000000000034</v>
      </c>
      <c r="G110" s="18"/>
      <c r="H110" s="18"/>
      <c r="I110" s="19">
        <f>E110*50/C110</f>
        <v>1.5384615384615385E-2</v>
      </c>
      <c r="J110" s="18">
        <f>C110-(E110*1080)</f>
        <v>10647.167617798192</v>
      </c>
    </row>
    <row r="111" spans="1:16">
      <c r="A111" s="88"/>
      <c r="B111" s="82">
        <f>B110+7</f>
        <v>43548</v>
      </c>
      <c r="C111" s="20">
        <f>D110+G110-H110</f>
        <v>16584.067533713314</v>
      </c>
      <c r="D111" s="17">
        <f>C111+(C111*0.04)</f>
        <v>17247.430235061845</v>
      </c>
      <c r="E111" s="17">
        <f>C111/3250</f>
        <v>5.1027900103733277</v>
      </c>
      <c r="F111" s="28">
        <f>(D111-C111)/E111</f>
        <v>129.99999999999972</v>
      </c>
      <c r="G111" s="18"/>
      <c r="H111" s="18"/>
      <c r="I111" s="19">
        <f>E111*50/C111</f>
        <v>1.5384615384615385E-2</v>
      </c>
      <c r="J111" s="18">
        <f>C111-(E111*1080)</f>
        <v>11073.054322510121</v>
      </c>
    </row>
    <row r="112" spans="1:16" ht="13.5" thickBot="1">
      <c r="A112" s="89"/>
      <c r="B112" s="82">
        <f>B111+7</f>
        <v>43555</v>
      </c>
      <c r="C112" s="20">
        <f>D111+G111-H111</f>
        <v>17247.430235061845</v>
      </c>
      <c r="D112" s="17">
        <f>C112+(C112*0.04)</f>
        <v>17937.327444464318</v>
      </c>
      <c r="E112" s="17">
        <f>C112/3250</f>
        <v>5.3069016107882598</v>
      </c>
      <c r="F112" s="28">
        <f>(D112-C112)/E112</f>
        <v>129.99999999999969</v>
      </c>
      <c r="G112" s="81"/>
      <c r="H112" s="81"/>
      <c r="I112" s="19">
        <f>E112*50/C112</f>
        <v>1.5384615384615384E-2</v>
      </c>
      <c r="J112" s="18">
        <f>C112-(E112*1080)</f>
        <v>11515.976495410525</v>
      </c>
      <c r="K112" s="95"/>
      <c r="L112" s="96"/>
      <c r="M112" s="96"/>
      <c r="N112" s="96"/>
      <c r="O112" s="96"/>
      <c r="P112" s="96"/>
    </row>
    <row r="113" spans="1:16" ht="13.5" thickBot="1">
      <c r="A113" s="79"/>
      <c r="B113" s="13"/>
      <c r="C113" s="22"/>
      <c r="D113" s="23"/>
      <c r="E113" s="23"/>
      <c r="F113" s="27"/>
      <c r="G113" s="23"/>
      <c r="H113" s="10"/>
      <c r="I113" s="24"/>
      <c r="J113" s="25"/>
    </row>
    <row r="114" spans="1:16">
      <c r="A114" s="87">
        <v>23</v>
      </c>
      <c r="B114" s="82">
        <f>B112+7</f>
        <v>43562</v>
      </c>
      <c r="C114" s="20">
        <f>D112+G112-H112</f>
        <v>17937.327444464318</v>
      </c>
      <c r="D114" s="17">
        <f>C114+(C114*0.04)</f>
        <v>18654.820542242891</v>
      </c>
      <c r="E114" s="17">
        <f>C114/3250</f>
        <v>5.5191776752197903</v>
      </c>
      <c r="F114" s="28">
        <f>(D114-C114)/E114</f>
        <v>130.00000000000011</v>
      </c>
      <c r="G114" s="18"/>
      <c r="H114" s="18"/>
      <c r="I114" s="19">
        <f>E114*50/C114</f>
        <v>1.5384615384615385E-2</v>
      </c>
      <c r="J114" s="18">
        <f>C114-(E114*1080)</f>
        <v>11976.615555226945</v>
      </c>
    </row>
    <row r="115" spans="1:16">
      <c r="A115" s="88"/>
      <c r="B115" s="82">
        <f>B114+7</f>
        <v>43569</v>
      </c>
      <c r="C115" s="20">
        <f>D114+G114-H114</f>
        <v>18654.820542242891</v>
      </c>
      <c r="D115" s="17">
        <f>C115+(C115*0.04)</f>
        <v>19401.013363932605</v>
      </c>
      <c r="E115" s="17">
        <f>C115/3250</f>
        <v>5.7399447822285818</v>
      </c>
      <c r="F115" s="28">
        <f>(D115-C115)/E115</f>
        <v>129.99999999999972</v>
      </c>
      <c r="G115" s="18"/>
      <c r="H115" s="18"/>
      <c r="I115" s="19">
        <f>E115*50/C115</f>
        <v>1.5384615384615385E-2</v>
      </c>
      <c r="J115" s="18">
        <f>C115-(E115*1080)</f>
        <v>12455.680177436023</v>
      </c>
    </row>
    <row r="116" spans="1:16">
      <c r="A116" s="88"/>
      <c r="B116" s="82">
        <f>B115+7</f>
        <v>43576</v>
      </c>
      <c r="C116" s="20">
        <f>D115+G115-H115</f>
        <v>19401.013363932605</v>
      </c>
      <c r="D116" s="17">
        <f>C116+(C116*0.04)</f>
        <v>20177.05389848991</v>
      </c>
      <c r="E116" s="17">
        <f>C116/3250</f>
        <v>5.9695425735177245</v>
      </c>
      <c r="F116" s="28">
        <f>(D116-C116)/E116</f>
        <v>130.0000000000002</v>
      </c>
      <c r="G116" s="18"/>
      <c r="H116" s="18"/>
      <c r="I116" s="19">
        <f>E116*50/C116</f>
        <v>1.5384615384615384E-2</v>
      </c>
      <c r="J116" s="18">
        <f>C116-(E116*1080)</f>
        <v>12953.907384533462</v>
      </c>
    </row>
    <row r="117" spans="1:16" ht="13.5" thickBot="1">
      <c r="A117" s="89"/>
      <c r="B117" s="82">
        <f>B116+7</f>
        <v>43583</v>
      </c>
      <c r="C117" s="20">
        <f>D116+G116-H116</f>
        <v>20177.05389848991</v>
      </c>
      <c r="D117" s="17">
        <f>C117+(C117*0.04)</f>
        <v>20984.136054429506</v>
      </c>
      <c r="E117" s="17">
        <f>C117/3250</f>
        <v>6.2083242764584341</v>
      </c>
      <c r="F117" s="28">
        <f>(D117-C117)/E117</f>
        <v>129.99999999999983</v>
      </c>
      <c r="G117" s="81"/>
      <c r="H117" s="81"/>
      <c r="I117" s="19">
        <f>E117*50/C117</f>
        <v>1.5384615384615384E-2</v>
      </c>
      <c r="J117" s="18">
        <f>C117-(E117*1080)</f>
        <v>13472.063679914801</v>
      </c>
      <c r="K117" s="95"/>
      <c r="L117" s="96"/>
      <c r="M117" s="96"/>
      <c r="N117" s="96"/>
      <c r="O117" s="96"/>
      <c r="P117" s="96"/>
    </row>
    <row r="118" spans="1:16" ht="13.5" thickBot="1">
      <c r="A118" s="79"/>
      <c r="B118" s="13"/>
      <c r="C118" s="22"/>
      <c r="D118" s="23"/>
      <c r="E118" s="23"/>
      <c r="F118" s="27"/>
      <c r="G118" s="23"/>
      <c r="H118" s="10"/>
      <c r="I118" s="24"/>
      <c r="J118" s="25"/>
    </row>
    <row r="119" spans="1:16">
      <c r="A119" s="87">
        <v>24</v>
      </c>
      <c r="B119" s="82">
        <f>B117+7</f>
        <v>43590</v>
      </c>
      <c r="C119" s="20">
        <f>D117+G117-H117</f>
        <v>20984.136054429506</v>
      </c>
      <c r="D119" s="17">
        <f>C119+(C119*0.04)</f>
        <v>21823.501496606685</v>
      </c>
      <c r="E119" s="17">
        <f>C119/3250</f>
        <v>6.4566572475167714</v>
      </c>
      <c r="F119" s="28">
        <f>(D119-C119)/E119</f>
        <v>129.9999999999998</v>
      </c>
      <c r="G119" s="18"/>
      <c r="H119" s="18"/>
      <c r="I119" s="19">
        <f>E119*50/C119</f>
        <v>1.5384615384615384E-2</v>
      </c>
      <c r="J119" s="18">
        <f>C119-(E119*1080)</f>
        <v>14010.946227111392</v>
      </c>
    </row>
    <row r="120" spans="1:16">
      <c r="A120" s="88"/>
      <c r="B120" s="82">
        <f>B119+7</f>
        <v>43597</v>
      </c>
      <c r="C120" s="20">
        <f>D119+G119-H119</f>
        <v>21823.501496606685</v>
      </c>
      <c r="D120" s="17">
        <f>C120+(C120*0.04)</f>
        <v>22696.441556470952</v>
      </c>
      <c r="E120" s="17">
        <f>C120/3250</f>
        <v>6.7149235374174419</v>
      </c>
      <c r="F120" s="28">
        <f>(D120-C120)/E120</f>
        <v>130.00000000000006</v>
      </c>
      <c r="G120" s="18"/>
      <c r="H120" s="18"/>
      <c r="I120" s="19">
        <f>E120*50/C120</f>
        <v>1.5384615384615385E-2</v>
      </c>
      <c r="J120" s="18">
        <f>C120-(E120*1080)</f>
        <v>14571.384076195847</v>
      </c>
    </row>
    <row r="121" spans="1:16">
      <c r="A121" s="88"/>
      <c r="B121" s="82">
        <f>B120+7</f>
        <v>43604</v>
      </c>
      <c r="C121" s="20">
        <f>D120+G120-H120</f>
        <v>22696.441556470952</v>
      </c>
      <c r="D121" s="17">
        <f>C121+(C121*0.04)</f>
        <v>23604.29921872979</v>
      </c>
      <c r="E121" s="17">
        <f>C121/3250</f>
        <v>6.983520478914139</v>
      </c>
      <c r="F121" s="28">
        <f>(D121-C121)/E121</f>
        <v>129.99999999999986</v>
      </c>
      <c r="G121" s="18"/>
      <c r="H121" s="18"/>
      <c r="I121" s="19">
        <f>E121*50/C121</f>
        <v>1.5384615384615384E-2</v>
      </c>
      <c r="J121" s="18">
        <f>C121-(E121*1080)</f>
        <v>15154.239439243684</v>
      </c>
    </row>
    <row r="122" spans="1:16" ht="13.5" thickBot="1">
      <c r="A122" s="89"/>
      <c r="B122" s="82">
        <f>B121+7</f>
        <v>43611</v>
      </c>
      <c r="C122" s="20">
        <f>D121+G121-H121</f>
        <v>23604.29921872979</v>
      </c>
      <c r="D122" s="17">
        <f>C122+(C122*0.04)</f>
        <v>24548.471187478983</v>
      </c>
      <c r="E122" s="17">
        <f>C122/3250</f>
        <v>7.2628612980707041</v>
      </c>
      <c r="F122" s="28">
        <f>(D122-C122)/E122</f>
        <v>130.00000000000023</v>
      </c>
      <c r="G122" s="81"/>
      <c r="H122" s="81">
        <f>(D122-C109)*0.35</f>
        <v>3225.4489792274258</v>
      </c>
      <c r="I122" s="19">
        <f>E122*50/C122</f>
        <v>1.5384615384615384E-2</v>
      </c>
      <c r="J122" s="18">
        <f>C122-(E122*1080)</f>
        <v>15760.409016813428</v>
      </c>
      <c r="K122" s="90" t="s">
        <v>44</v>
      </c>
      <c r="L122" s="91"/>
      <c r="M122" s="91"/>
      <c r="N122" s="91"/>
      <c r="O122" s="91"/>
      <c r="P122" s="91"/>
    </row>
    <row r="123" spans="1:16" ht="13.5" thickBot="1">
      <c r="A123" s="79"/>
      <c r="B123" s="13"/>
      <c r="C123" s="22"/>
      <c r="D123" s="23"/>
      <c r="E123" s="23"/>
      <c r="F123" s="27"/>
      <c r="G123" s="23"/>
      <c r="H123" s="10"/>
      <c r="I123" s="24"/>
      <c r="J123" s="25"/>
    </row>
    <row r="124" spans="1:16">
      <c r="A124" s="87">
        <v>25</v>
      </c>
      <c r="B124" s="82">
        <f>B122+7</f>
        <v>43618</v>
      </c>
      <c r="C124" s="20">
        <f>D122+G122-H122</f>
        <v>21323.022208251557</v>
      </c>
      <c r="D124" s="17">
        <f>C124+(C124*0.04)</f>
        <v>22175.943096581621</v>
      </c>
      <c r="E124" s="17">
        <f>C124/3250</f>
        <v>6.5609299102312484</v>
      </c>
      <c r="F124" s="28">
        <f>(D124-C124)/E124</f>
        <v>130.00000000000017</v>
      </c>
      <c r="G124" s="17"/>
      <c r="H124" s="18"/>
      <c r="I124" s="19">
        <f>E124*50/C124</f>
        <v>1.5384615384615384E-2</v>
      </c>
      <c r="J124" s="18">
        <f>C124-(E124*1080)</f>
        <v>14237.217905201809</v>
      </c>
    </row>
    <row r="125" spans="1:16">
      <c r="A125" s="88"/>
      <c r="B125" s="82">
        <f>B124+7</f>
        <v>43625</v>
      </c>
      <c r="C125" s="20">
        <f>D124+G124-H124</f>
        <v>22175.943096581621</v>
      </c>
      <c r="D125" s="17">
        <f>C125+(C125*0.04)</f>
        <v>23062.980820444885</v>
      </c>
      <c r="E125" s="17">
        <f>C125/3250</f>
        <v>6.8233671066404984</v>
      </c>
      <c r="F125" s="28">
        <f>(D125-C125)/E125</f>
        <v>129.99999999999997</v>
      </c>
      <c r="G125" s="17"/>
      <c r="H125" s="18"/>
      <c r="I125" s="19">
        <f>E125*50/C125</f>
        <v>1.5384615384615384E-2</v>
      </c>
      <c r="J125" s="18">
        <f>C125-(E125*1080)</f>
        <v>14806.706621409881</v>
      </c>
      <c r="K125" s="31"/>
      <c r="L125" s="31"/>
    </row>
    <row r="126" spans="1:16">
      <c r="A126" s="88"/>
      <c r="B126" s="82">
        <f>B125+7</f>
        <v>43632</v>
      </c>
      <c r="C126" s="20">
        <f>D125+G125-H125</f>
        <v>23062.980820444885</v>
      </c>
      <c r="D126" s="17">
        <f>C126+(C126*0.04)</f>
        <v>23985.50005326268</v>
      </c>
      <c r="E126" s="17">
        <f>C126/3250</f>
        <v>7.0963017909061188</v>
      </c>
      <c r="F126" s="28">
        <f>(D126-C126)/E126</f>
        <v>129.99999999999989</v>
      </c>
      <c r="G126" s="17"/>
      <c r="H126" s="18"/>
      <c r="I126" s="19">
        <f>E126*50/C126</f>
        <v>1.5384615384615385E-2</v>
      </c>
      <c r="J126" s="18">
        <f>C126-(E126*1080)</f>
        <v>15398.974886266278</v>
      </c>
      <c r="K126" s="31"/>
      <c r="L126" s="31"/>
    </row>
    <row r="127" spans="1:16" ht="13.5" thickBot="1">
      <c r="A127" s="89"/>
      <c r="B127" s="82">
        <f>B126+7</f>
        <v>43639</v>
      </c>
      <c r="C127" s="20">
        <f>D126+G126-H126</f>
        <v>23985.50005326268</v>
      </c>
      <c r="D127" s="17">
        <f>C127+(C127*0.04)</f>
        <v>24944.920055393188</v>
      </c>
      <c r="E127" s="17">
        <f>C127/3250</f>
        <v>7.3801538625423628</v>
      </c>
      <c r="F127" s="28">
        <f>(D127-C127)/E127</f>
        <v>130.00000000000009</v>
      </c>
      <c r="G127" s="81"/>
      <c r="H127" s="81"/>
      <c r="I127" s="19">
        <f>E127*50/C127</f>
        <v>1.5384615384615385E-2</v>
      </c>
      <c r="J127" s="18">
        <f>C127-(E127*1080)</f>
        <v>16014.933881716928</v>
      </c>
      <c r="K127" s="95"/>
      <c r="L127" s="96"/>
      <c r="M127" s="96"/>
      <c r="N127" s="96"/>
      <c r="O127" s="96"/>
      <c r="P127" s="96"/>
    </row>
    <row r="128" spans="1:16" ht="13.5" thickBot="1">
      <c r="A128" s="79"/>
      <c r="B128" s="13"/>
      <c r="C128" s="22"/>
      <c r="D128" s="23"/>
      <c r="E128" s="23"/>
      <c r="F128" s="27"/>
      <c r="G128" s="23"/>
      <c r="H128" s="10"/>
      <c r="I128" s="24"/>
      <c r="J128" s="25"/>
    </row>
    <row r="129" spans="1:16">
      <c r="A129" s="87">
        <v>26</v>
      </c>
      <c r="B129" s="82">
        <f>B127+7</f>
        <v>43646</v>
      </c>
      <c r="C129" s="20">
        <f>D127+G127-H127</f>
        <v>24944.920055393188</v>
      </c>
      <c r="D129" s="17">
        <f>C129+(C129*0.04)</f>
        <v>25942.716857608917</v>
      </c>
      <c r="E129" s="17">
        <f>C129/3250</f>
        <v>7.6753600170440581</v>
      </c>
      <c r="F129" s="28">
        <f>(D129-C129)/E129</f>
        <v>130.00000000000023</v>
      </c>
      <c r="G129" s="18"/>
      <c r="H129" s="18"/>
      <c r="I129" s="19">
        <f>E129*50/C129</f>
        <v>1.5384615384615385E-2</v>
      </c>
      <c r="J129" s="18">
        <f>C129-(E129*1080)</f>
        <v>16655.531236985604</v>
      </c>
    </row>
    <row r="130" spans="1:16">
      <c r="A130" s="88"/>
      <c r="B130" s="82">
        <f>B129+7</f>
        <v>43653</v>
      </c>
      <c r="C130" s="20">
        <f>D129+G129-H129</f>
        <v>25942.716857608917</v>
      </c>
      <c r="D130" s="17">
        <f>C130+(C130*0.04)</f>
        <v>26980.425531913275</v>
      </c>
      <c r="E130" s="17">
        <f>C130/3250</f>
        <v>7.9823744177258202</v>
      </c>
      <c r="F130" s="28">
        <f>(D130-C130)/E130</f>
        <v>130.0000000000002</v>
      </c>
      <c r="G130" s="18"/>
      <c r="H130" s="18"/>
      <c r="I130" s="19">
        <f>E130*50/C130</f>
        <v>1.5384615384615384E-2</v>
      </c>
      <c r="J130" s="18">
        <f>C130-(E130*1080)</f>
        <v>17321.752486465033</v>
      </c>
    </row>
    <row r="131" spans="1:16">
      <c r="A131" s="88"/>
      <c r="B131" s="82">
        <f>B130+7</f>
        <v>43660</v>
      </c>
      <c r="C131" s="20">
        <f>D130+G130-H130</f>
        <v>26980.425531913275</v>
      </c>
      <c r="D131" s="17">
        <f>C131+(C131*0.04)</f>
        <v>28059.642553189806</v>
      </c>
      <c r="E131" s="17">
        <f>C131/3250</f>
        <v>8.3016693944348532</v>
      </c>
      <c r="F131" s="28">
        <f>(D131-C131)/E131</f>
        <v>129.99999999999994</v>
      </c>
      <c r="G131" s="18"/>
      <c r="H131" s="18"/>
      <c r="I131" s="19">
        <f>E131*50/C131</f>
        <v>1.5384615384615382E-2</v>
      </c>
      <c r="J131" s="18">
        <f>C131-(E131*1080)</f>
        <v>18014.622585923637</v>
      </c>
    </row>
    <row r="132" spans="1:16" ht="13.5" thickBot="1">
      <c r="A132" s="89"/>
      <c r="B132" s="82">
        <f>B131+7</f>
        <v>43667</v>
      </c>
      <c r="C132" s="20">
        <f>D131+G131-H131</f>
        <v>28059.642553189806</v>
      </c>
      <c r="D132" s="17">
        <f>C132+(C132*0.04)</f>
        <v>29182.028255317397</v>
      </c>
      <c r="E132" s="17">
        <f>C132/3250</f>
        <v>8.6337361702122486</v>
      </c>
      <c r="F132" s="28">
        <f>(D132-C132)/E132</f>
        <v>129.99999999999983</v>
      </c>
      <c r="G132" s="81"/>
      <c r="H132" s="81"/>
      <c r="I132" s="19">
        <f>E132*50/C132</f>
        <v>1.5384615384615385E-2</v>
      </c>
      <c r="J132" s="18">
        <f>C132-(E132*1080)</f>
        <v>18735.207489360575</v>
      </c>
      <c r="K132" s="95"/>
      <c r="L132" s="96"/>
      <c r="M132" s="96"/>
      <c r="N132" s="96"/>
      <c r="O132" s="96"/>
      <c r="P132" s="96"/>
    </row>
    <row r="133" spans="1:16" ht="13.5" thickBot="1">
      <c r="A133" s="79"/>
      <c r="B133" s="13"/>
      <c r="C133" s="22"/>
      <c r="D133" s="23"/>
      <c r="E133" s="23"/>
      <c r="F133" s="27"/>
      <c r="G133" s="23"/>
      <c r="H133" s="10"/>
      <c r="I133" s="24"/>
      <c r="J133" s="25"/>
    </row>
    <row r="134" spans="1:16">
      <c r="A134" s="87">
        <v>27</v>
      </c>
      <c r="B134" s="82">
        <f>B132+7</f>
        <v>43674</v>
      </c>
      <c r="C134" s="20">
        <f>D132+G132-H132</f>
        <v>29182.028255317397</v>
      </c>
      <c r="D134" s="17">
        <f>C134+(C134*0.04)</f>
        <v>30349.309385530094</v>
      </c>
      <c r="E134" s="17">
        <f>C134/3250</f>
        <v>8.979085617020738</v>
      </c>
      <c r="F134" s="28">
        <f>(D134-C134)/E134</f>
        <v>130.00000000000017</v>
      </c>
      <c r="G134" s="18"/>
      <c r="H134" s="18"/>
      <c r="I134" s="19">
        <f>E134*50/C134</f>
        <v>1.5384615384615385E-2</v>
      </c>
      <c r="J134" s="18">
        <f>C134-(E134*1080)</f>
        <v>19484.615788935</v>
      </c>
    </row>
    <row r="135" spans="1:16">
      <c r="A135" s="88"/>
      <c r="B135" s="82">
        <f>B134+7</f>
        <v>43681</v>
      </c>
      <c r="C135" s="20">
        <f>D134+G134-H134</f>
        <v>30349.309385530094</v>
      </c>
      <c r="D135" s="17">
        <f>C135+(C135*0.04)</f>
        <v>31563.281760951297</v>
      </c>
      <c r="E135" s="17">
        <f>C135/3250</f>
        <v>9.3382490417015678</v>
      </c>
      <c r="F135" s="28">
        <f>(D135-C135)/E135</f>
        <v>129.99999999999989</v>
      </c>
      <c r="G135" s="18"/>
      <c r="H135" s="18"/>
      <c r="I135" s="19">
        <f>E135*50/C135</f>
        <v>1.5384615384615385E-2</v>
      </c>
      <c r="J135" s="18">
        <f>C135-(E135*1080)</f>
        <v>20264.000420492401</v>
      </c>
    </row>
    <row r="136" spans="1:16">
      <c r="A136" s="88"/>
      <c r="B136" s="82">
        <f>B135+7</f>
        <v>43688</v>
      </c>
      <c r="C136" s="20">
        <f>D135+G135-H135</f>
        <v>31563.281760951297</v>
      </c>
      <c r="D136" s="17">
        <f>C136+(C136*0.04)</f>
        <v>32825.813031389349</v>
      </c>
      <c r="E136" s="17">
        <f>C136/3250</f>
        <v>9.7117790033696298</v>
      </c>
      <c r="F136" s="28">
        <f>(D136-C136)/E136</f>
        <v>130.00000000000003</v>
      </c>
      <c r="G136" s="18"/>
      <c r="H136" s="18"/>
      <c r="I136" s="19">
        <f>E136*50/C136</f>
        <v>1.5384615384615385E-2</v>
      </c>
      <c r="J136" s="18">
        <f>C136-(E136*1080)</f>
        <v>21074.560437312095</v>
      </c>
    </row>
    <row r="137" spans="1:16" ht="13.5" thickBot="1">
      <c r="A137" s="89"/>
      <c r="B137" s="82">
        <f>B136+7</f>
        <v>43695</v>
      </c>
      <c r="C137" s="20">
        <f>D136+G136-H136</f>
        <v>32825.813031389349</v>
      </c>
      <c r="D137" s="17">
        <f>C137+(C137*0.04)</f>
        <v>34138.845552644925</v>
      </c>
      <c r="E137" s="17">
        <f>C137/3250</f>
        <v>10.100250163504414</v>
      </c>
      <c r="F137" s="28">
        <f>(D137-C137)/E137</f>
        <v>130.00000000000023</v>
      </c>
      <c r="G137" s="81"/>
      <c r="H137" s="81">
        <f>(D137-C124)*0.35</f>
        <v>4485.5381705376785</v>
      </c>
      <c r="I137" s="19">
        <f>E137*50/C137</f>
        <v>1.5384615384615384E-2</v>
      </c>
      <c r="J137" s="18">
        <f>C137-(E137*1080)</f>
        <v>21917.542854804582</v>
      </c>
      <c r="K137" s="90" t="s">
        <v>44</v>
      </c>
      <c r="L137" s="91"/>
      <c r="M137" s="91"/>
      <c r="N137" s="91"/>
      <c r="O137" s="91"/>
      <c r="P137" s="91"/>
    </row>
    <row r="138" spans="1:16" ht="13.5" thickBot="1">
      <c r="A138" s="79"/>
      <c r="B138" s="13"/>
      <c r="C138" s="22"/>
      <c r="D138" s="23"/>
      <c r="E138" s="23"/>
      <c r="F138" s="27"/>
      <c r="G138" s="23"/>
      <c r="H138" s="10"/>
      <c r="I138" s="24"/>
      <c r="J138" s="25"/>
    </row>
    <row r="139" spans="1:16">
      <c r="A139" s="87">
        <v>28</v>
      </c>
      <c r="B139" s="82">
        <f>B137+7</f>
        <v>43702</v>
      </c>
      <c r="C139" s="20">
        <f>D137+G137-H137</f>
        <v>29653.307382107247</v>
      </c>
      <c r="D139" s="17">
        <f>C139+(C139*0.04)</f>
        <v>30839.439677391536</v>
      </c>
      <c r="E139" s="17">
        <f>C139/3250</f>
        <v>9.1240945791099222</v>
      </c>
      <c r="F139" s="28">
        <f>(D139-C139)/E139</f>
        <v>129.99999999999994</v>
      </c>
      <c r="G139" s="18"/>
      <c r="H139" s="18"/>
      <c r="I139" s="19">
        <f>E139*50/C139</f>
        <v>1.5384615384615384E-2</v>
      </c>
      <c r="J139" s="18">
        <f>C139-(E139*1080)</f>
        <v>19799.285236668533</v>
      </c>
    </row>
    <row r="140" spans="1:16">
      <c r="A140" s="88"/>
      <c r="B140" s="82">
        <f>B139+7</f>
        <v>43709</v>
      </c>
      <c r="C140" s="20">
        <f>D139+G139-H139</f>
        <v>30839.439677391536</v>
      </c>
      <c r="D140" s="17">
        <f>C140+(C140*0.04)</f>
        <v>32073.017264487196</v>
      </c>
      <c r="E140" s="17">
        <f>C140/3250</f>
        <v>9.489058362274319</v>
      </c>
      <c r="F140" s="28">
        <f>(D140-C140)/E140</f>
        <v>129.99999999999989</v>
      </c>
      <c r="G140" s="18"/>
      <c r="H140" s="18"/>
      <c r="I140" s="19">
        <f>E140*50/C140</f>
        <v>1.5384615384615385E-2</v>
      </c>
      <c r="J140" s="18">
        <f>C140-(E140*1080)</f>
        <v>20591.256646135269</v>
      </c>
    </row>
    <row r="141" spans="1:16">
      <c r="A141" s="88"/>
      <c r="B141" s="82">
        <f>B140+7</f>
        <v>43716</v>
      </c>
      <c r="C141" s="20">
        <f>D140+G140-H140</f>
        <v>32073.017264487196</v>
      </c>
      <c r="D141" s="17">
        <f>C141+(C141*0.04)</f>
        <v>33355.937955066685</v>
      </c>
      <c r="E141" s="17">
        <f>C141/3250</f>
        <v>9.8686206967652907</v>
      </c>
      <c r="F141" s="28">
        <f>(D141-C141)/E141</f>
        <v>130.00000000000011</v>
      </c>
      <c r="G141" s="18"/>
      <c r="H141" s="18"/>
      <c r="I141" s="19">
        <f>E141*50/C141</f>
        <v>1.5384615384615384E-2</v>
      </c>
      <c r="J141" s="18">
        <f>C141-(E141*1080)</f>
        <v>21414.906911980681</v>
      </c>
    </row>
    <row r="142" spans="1:16" ht="13.5" thickBot="1">
      <c r="A142" s="89"/>
      <c r="B142" s="82">
        <f>B141+7</f>
        <v>43723</v>
      </c>
      <c r="C142" s="20">
        <f>D141+G141-H141</f>
        <v>33355.937955066685</v>
      </c>
      <c r="D142" s="17">
        <f>C142+(C142*0.04)</f>
        <v>34690.175473269352</v>
      </c>
      <c r="E142" s="17">
        <f>C142/3250</f>
        <v>10.263365524635903</v>
      </c>
      <c r="F142" s="28">
        <f>(D142-C142)/E142</f>
        <v>129.99999999999989</v>
      </c>
      <c r="G142" s="81"/>
      <c r="H142" s="81"/>
      <c r="I142" s="19">
        <f>E142*50/C142</f>
        <v>1.5384615384615385E-2</v>
      </c>
      <c r="J142" s="18">
        <f>C142-(E142*1080)</f>
        <v>22271.503188459908</v>
      </c>
      <c r="K142" s="95"/>
      <c r="L142" s="96"/>
      <c r="M142" s="96"/>
      <c r="N142" s="96"/>
      <c r="O142" s="96"/>
      <c r="P142" s="96"/>
    </row>
    <row r="143" spans="1:16" ht="13.5" thickBot="1">
      <c r="A143" s="79"/>
      <c r="B143" s="13"/>
      <c r="C143" s="22"/>
      <c r="D143" s="23"/>
      <c r="E143" s="23"/>
      <c r="F143" s="27"/>
      <c r="G143" s="23"/>
      <c r="H143" s="10"/>
      <c r="I143" s="24"/>
      <c r="J143" s="25"/>
    </row>
    <row r="144" spans="1:16">
      <c r="A144" s="87">
        <v>29</v>
      </c>
      <c r="B144" s="82">
        <f>B142+7</f>
        <v>43730</v>
      </c>
      <c r="C144" s="20">
        <f>D142+G142-H142</f>
        <v>34690.175473269352</v>
      </c>
      <c r="D144" s="17">
        <f>C144+(C144*0.04)</f>
        <v>36077.782492200124</v>
      </c>
      <c r="E144" s="17">
        <f>C144/3250</f>
        <v>10.673900145621339</v>
      </c>
      <c r="F144" s="28">
        <f>(D144-C144)/E144</f>
        <v>129.9999999999998</v>
      </c>
      <c r="G144" s="18"/>
      <c r="H144" s="18"/>
      <c r="I144" s="19">
        <f>E144*50/C144</f>
        <v>1.5384615384615385E-2</v>
      </c>
      <c r="J144" s="18">
        <f>C144-(E144*1080)</f>
        <v>23162.363315998307</v>
      </c>
    </row>
    <row r="145" spans="1:16">
      <c r="A145" s="88"/>
      <c r="B145" s="82">
        <f>B144+7</f>
        <v>43737</v>
      </c>
      <c r="C145" s="20">
        <f>D144+G144-H144</f>
        <v>36077.782492200124</v>
      </c>
      <c r="D145" s="17">
        <f>C145+(C145*0.04)</f>
        <v>37520.893791888127</v>
      </c>
      <c r="E145" s="17">
        <f>C145/3250</f>
        <v>11.100856151446193</v>
      </c>
      <c r="F145" s="28">
        <f>(D145-C145)/E145</f>
        <v>129.99999999999989</v>
      </c>
      <c r="G145" s="18"/>
      <c r="H145" s="18"/>
      <c r="I145" s="19">
        <f>E145*50/C145</f>
        <v>1.5384615384615384E-2</v>
      </c>
      <c r="J145" s="18">
        <f>C145-(E145*1080)</f>
        <v>24088.857848638236</v>
      </c>
    </row>
    <row r="146" spans="1:16">
      <c r="A146" s="88"/>
      <c r="B146" s="82">
        <f>B145+7</f>
        <v>43744</v>
      </c>
      <c r="C146" s="20">
        <f>D145+G145-H145</f>
        <v>37520.893791888127</v>
      </c>
      <c r="D146" s="17">
        <f>C146+(C146*0.04)</f>
        <v>39021.729543563655</v>
      </c>
      <c r="E146" s="17">
        <f>C146/3250</f>
        <v>11.544890397504039</v>
      </c>
      <c r="F146" s="28">
        <f>(D146-C146)/E146</f>
        <v>130.00000000000023</v>
      </c>
      <c r="G146" s="18"/>
      <c r="H146" s="18"/>
      <c r="I146" s="19">
        <f>E146*50/C146</f>
        <v>1.5384615384615384E-2</v>
      </c>
      <c r="J146" s="18">
        <f>C146-(E146*1080)</f>
        <v>25052.412162583765</v>
      </c>
    </row>
    <row r="147" spans="1:16" ht="13.5" thickBot="1">
      <c r="A147" s="89"/>
      <c r="B147" s="82">
        <f>B146+7</f>
        <v>43751</v>
      </c>
      <c r="C147" s="20">
        <f>D146+G146-H146</f>
        <v>39021.729543563655</v>
      </c>
      <c r="D147" s="17">
        <f>C147+(C147*0.04)</f>
        <v>40582.598725306205</v>
      </c>
      <c r="E147" s="17">
        <f>C147/3250</f>
        <v>12.006686013404202</v>
      </c>
      <c r="F147" s="28">
        <f>(D147-C147)/E147</f>
        <v>130.00000000000028</v>
      </c>
      <c r="G147" s="81"/>
      <c r="H147" s="81"/>
      <c r="I147" s="19">
        <f>E147*50/C147</f>
        <v>1.5384615384615387E-2</v>
      </c>
      <c r="J147" s="18">
        <f>C147-(E147*1080)</f>
        <v>26054.508649087118</v>
      </c>
      <c r="K147" s="95"/>
      <c r="L147" s="96"/>
      <c r="M147" s="96"/>
      <c r="N147" s="96"/>
      <c r="O147" s="96"/>
      <c r="P147" s="96"/>
    </row>
    <row r="148" spans="1:16" ht="13.5" thickBot="1">
      <c r="A148" s="79"/>
      <c r="B148" s="13"/>
      <c r="C148" s="22"/>
      <c r="D148" s="23"/>
      <c r="E148" s="23"/>
      <c r="F148" s="27"/>
      <c r="G148" s="23"/>
      <c r="H148" s="10"/>
      <c r="I148" s="24"/>
      <c r="J148" s="25"/>
    </row>
    <row r="149" spans="1:16">
      <c r="A149" s="87">
        <v>30</v>
      </c>
      <c r="B149" s="82">
        <f>B147+7</f>
        <v>43758</v>
      </c>
      <c r="C149" s="20">
        <f>D147+G147-H147</f>
        <v>40582.598725306205</v>
      </c>
      <c r="D149" s="17">
        <f>C149+(C149*0.04)</f>
        <v>42205.902674318451</v>
      </c>
      <c r="E149" s="17">
        <f>C149/3250</f>
        <v>12.486953453940371</v>
      </c>
      <c r="F149" s="28">
        <f>(D149-C149)/E149</f>
        <v>129.99999999999986</v>
      </c>
      <c r="G149" s="18"/>
      <c r="H149" s="18"/>
      <c r="I149" s="19">
        <f>E149*50/C149</f>
        <v>1.5384615384615385E-2</v>
      </c>
      <c r="J149" s="18">
        <f>C149-(E149*1080)</f>
        <v>27096.688995050605</v>
      </c>
    </row>
    <row r="150" spans="1:16">
      <c r="A150" s="88"/>
      <c r="B150" s="82">
        <f>B149+7</f>
        <v>43765</v>
      </c>
      <c r="C150" s="20">
        <f>D149+G149-H149</f>
        <v>42205.902674318451</v>
      </c>
      <c r="D150" s="17">
        <f>C150+(C150*0.04)</f>
        <v>43894.138781291193</v>
      </c>
      <c r="E150" s="17">
        <f>C150/3250</f>
        <v>12.986431592097984</v>
      </c>
      <c r="F150" s="28">
        <f>(D150-C150)/E150</f>
        <v>130.00000000000026</v>
      </c>
      <c r="G150" s="18"/>
      <c r="H150" s="18"/>
      <c r="I150" s="19">
        <f>E150*50/C150</f>
        <v>1.5384615384615382E-2</v>
      </c>
      <c r="J150" s="18">
        <f>C150-(E150*1080)</f>
        <v>28180.556554852628</v>
      </c>
    </row>
    <row r="151" spans="1:16">
      <c r="A151" s="88"/>
      <c r="B151" s="82">
        <f>B150+7</f>
        <v>43772</v>
      </c>
      <c r="C151" s="20">
        <f>D150+G150-H150</f>
        <v>43894.138781291193</v>
      </c>
      <c r="D151" s="17">
        <f>C151+(C151*0.04)</f>
        <v>45649.904332542843</v>
      </c>
      <c r="E151" s="17">
        <f>C151/3250</f>
        <v>13.505888855781905</v>
      </c>
      <c r="F151" s="28">
        <f>(D151-C151)/E151</f>
        <v>130.0000000000002</v>
      </c>
      <c r="G151" s="18"/>
      <c r="H151" s="18"/>
      <c r="I151" s="19">
        <f>E151*50/C151</f>
        <v>1.5384615384615384E-2</v>
      </c>
      <c r="J151" s="18">
        <f>C151-(E151*1080)</f>
        <v>29307.778817046736</v>
      </c>
    </row>
    <row r="152" spans="1:16" ht="13.5" thickBot="1">
      <c r="A152" s="89"/>
      <c r="B152" s="82">
        <f>B151+7</f>
        <v>43779</v>
      </c>
      <c r="C152" s="20">
        <f>D151+G151-H151</f>
        <v>45649.904332542843</v>
      </c>
      <c r="D152" s="17">
        <f>C152+(C152*0.04)</f>
        <v>47475.900505844555</v>
      </c>
      <c r="E152" s="17">
        <f>C152/3250</f>
        <v>14.046124410013183</v>
      </c>
      <c r="F152" s="28">
        <f>(D152-C152)/E152</f>
        <v>129.99999999999986</v>
      </c>
      <c r="G152" s="81"/>
      <c r="H152" s="81">
        <f>(D152-C139)*0.35</f>
        <v>6237.9075933080576</v>
      </c>
      <c r="I152" s="19">
        <f>E152*50/C152</f>
        <v>1.5384615384615385E-2</v>
      </c>
      <c r="J152" s="18">
        <f>C152-(E152*1080)</f>
        <v>30480.089969728608</v>
      </c>
      <c r="K152" s="90" t="s">
        <v>44</v>
      </c>
      <c r="L152" s="91"/>
      <c r="M152" s="91"/>
      <c r="N152" s="91"/>
      <c r="O152" s="91"/>
      <c r="P152" s="91"/>
    </row>
    <row r="153" spans="1:16" ht="13.5" thickBot="1">
      <c r="A153" s="79"/>
      <c r="B153" s="13"/>
      <c r="C153" s="22"/>
      <c r="D153" s="23"/>
      <c r="E153" s="23"/>
      <c r="F153" s="27"/>
      <c r="G153" s="23"/>
      <c r="H153" s="10"/>
      <c r="I153" s="24"/>
      <c r="J153" s="25"/>
    </row>
    <row r="154" spans="1:16">
      <c r="A154" s="87">
        <v>31</v>
      </c>
      <c r="B154" s="82">
        <f>B152+7</f>
        <v>43786</v>
      </c>
      <c r="C154" s="20">
        <f>D152+G152-H152</f>
        <v>41237.992912536494</v>
      </c>
      <c r="D154" s="17">
        <f>C154+(C154*0.04)</f>
        <v>42887.512629037956</v>
      </c>
      <c r="E154" s="17">
        <f>C154/3250</f>
        <v>12.688613203857383</v>
      </c>
      <c r="F154" s="28">
        <f>(D154-C154)/E154</f>
        <v>130.00000000000014</v>
      </c>
      <c r="G154" s="17"/>
      <c r="H154" s="80"/>
      <c r="I154" s="19">
        <f>E154*50/C154</f>
        <v>1.5384615384615384E-2</v>
      </c>
      <c r="J154" s="18">
        <f>C154-(E154*1080)</f>
        <v>27534.290652370521</v>
      </c>
    </row>
    <row r="155" spans="1:16">
      <c r="A155" s="88"/>
      <c r="B155" s="82">
        <f>B154+7</f>
        <v>43793</v>
      </c>
      <c r="C155" s="20">
        <f>D154+G154-H154</f>
        <v>42887.512629037956</v>
      </c>
      <c r="D155" s="17">
        <f>C155+(C155*0.04)</f>
        <v>44603.013134199471</v>
      </c>
      <c r="E155" s="17">
        <f>C155/3250</f>
        <v>13.196157732011679</v>
      </c>
      <c r="F155" s="28">
        <f>(D155-C155)/E155</f>
        <v>129.99999999999977</v>
      </c>
      <c r="G155" s="17"/>
      <c r="H155" s="80"/>
      <c r="I155" s="19">
        <f>E155*50/C155</f>
        <v>1.5384615384615385E-2</v>
      </c>
      <c r="J155" s="18">
        <f>C155-(E155*1080)</f>
        <v>28635.662278465345</v>
      </c>
    </row>
    <row r="156" spans="1:16">
      <c r="A156" s="88"/>
      <c r="B156" s="82">
        <f>B155+7</f>
        <v>43800</v>
      </c>
      <c r="C156" s="20">
        <f>D155+G155-H155</f>
        <v>44603.013134199471</v>
      </c>
      <c r="D156" s="17">
        <f>C156+(C156*0.04)</f>
        <v>46387.133659567451</v>
      </c>
      <c r="E156" s="17">
        <f>C156/3250</f>
        <v>13.724004041292146</v>
      </c>
      <c r="F156" s="28">
        <f>(D156-C156)/E156</f>
        <v>130.00000000000009</v>
      </c>
      <c r="G156" s="17"/>
      <c r="H156" s="80"/>
      <c r="I156" s="19">
        <f>E156*50/C156</f>
        <v>1.5384615384615385E-2</v>
      </c>
      <c r="J156" s="18">
        <f>C156-(E156*1080)</f>
        <v>29781.088769603954</v>
      </c>
    </row>
    <row r="157" spans="1:16" ht="13.5" thickBot="1">
      <c r="A157" s="89"/>
      <c r="B157" s="82">
        <f>B156+7</f>
        <v>43807</v>
      </c>
      <c r="C157" s="20">
        <f>D156+G156-H156</f>
        <v>46387.133659567451</v>
      </c>
      <c r="D157" s="17">
        <f>C157+(C157*0.04)</f>
        <v>48242.619005950146</v>
      </c>
      <c r="E157" s="17">
        <f>C157/3250</f>
        <v>14.272964202943831</v>
      </c>
      <c r="F157" s="28">
        <f>(D157-C157)/E157</f>
        <v>129.99999999999977</v>
      </c>
      <c r="G157" s="81"/>
      <c r="H157" s="81"/>
      <c r="I157" s="19">
        <f>E157*50/C157</f>
        <v>1.5384615384615384E-2</v>
      </c>
      <c r="J157" s="18">
        <f>C157-(E157*1080)</f>
        <v>30972.332320388115</v>
      </c>
      <c r="K157" s="95"/>
      <c r="L157" s="96"/>
      <c r="M157" s="96"/>
      <c r="N157" s="96"/>
      <c r="O157" s="96"/>
      <c r="P157" s="96"/>
    </row>
    <row r="158" spans="1:16" ht="13.5" thickBot="1">
      <c r="A158" s="79"/>
      <c r="B158" s="13"/>
      <c r="C158" s="22"/>
      <c r="D158" s="23"/>
      <c r="E158" s="23"/>
      <c r="F158" s="27"/>
      <c r="G158" s="23"/>
      <c r="H158" s="10"/>
      <c r="I158" s="24"/>
      <c r="J158" s="25"/>
    </row>
    <row r="159" spans="1:16">
      <c r="A159" s="87">
        <v>32</v>
      </c>
      <c r="B159" s="82">
        <f>B157+7</f>
        <v>43814</v>
      </c>
      <c r="C159" s="20">
        <f>D157+G157-H157</f>
        <v>48242.619005950146</v>
      </c>
      <c r="D159" s="17">
        <f>C159+(C159*0.04)</f>
        <v>50172.32376618815</v>
      </c>
      <c r="E159" s="17">
        <f>C159/3250</f>
        <v>14.843882771061583</v>
      </c>
      <c r="F159" s="28">
        <f>(D159-C159)/E159</f>
        <v>129.99999999999991</v>
      </c>
      <c r="G159" s="18"/>
      <c r="H159" s="18"/>
      <c r="I159" s="19">
        <f>E159*50/C159</f>
        <v>1.5384615384615384E-2</v>
      </c>
      <c r="J159" s="18">
        <f>C159-(E159*1080)</f>
        <v>32211.225613203635</v>
      </c>
    </row>
    <row r="160" spans="1:16">
      <c r="A160" s="88"/>
      <c r="B160" s="82">
        <f>B159+7</f>
        <v>43821</v>
      </c>
      <c r="C160" s="20">
        <f>D159+G159-H159</f>
        <v>50172.32376618815</v>
      </c>
      <c r="D160" s="17">
        <f>C160+(C160*0.04)</f>
        <v>52179.216716835675</v>
      </c>
      <c r="E160" s="17">
        <f>C160/3250</f>
        <v>15.437638081904046</v>
      </c>
      <c r="F160" s="28">
        <f>(D160-C160)/E160</f>
        <v>129.99999999999994</v>
      </c>
      <c r="G160" s="18"/>
      <c r="H160" s="18"/>
      <c r="I160" s="19">
        <f>E160*50/C160</f>
        <v>1.5384615384615385E-2</v>
      </c>
      <c r="J160" s="18">
        <f>C160-(E160*1080)</f>
        <v>33499.674637731776</v>
      </c>
    </row>
    <row r="161" spans="1:16">
      <c r="A161" s="88"/>
      <c r="B161" s="82">
        <f>B160+7</f>
        <v>43828</v>
      </c>
      <c r="C161" s="20">
        <f>D160+G160-H160</f>
        <v>52179.216716835675</v>
      </c>
      <c r="D161" s="17">
        <f>C161+(C161*0.04)</f>
        <v>54266.3853855091</v>
      </c>
      <c r="E161" s="17">
        <f>C161/3250</f>
        <v>16.055143605180209</v>
      </c>
      <c r="F161" s="28">
        <f>(D161-C161)/E161</f>
        <v>129.99999999999986</v>
      </c>
      <c r="G161" s="18"/>
      <c r="H161" s="18"/>
      <c r="I161" s="19">
        <f>E161*50/C161</f>
        <v>1.5384615384615387E-2</v>
      </c>
      <c r="J161" s="18">
        <f>C161-(E161*1080)</f>
        <v>34839.661623241045</v>
      </c>
    </row>
    <row r="162" spans="1:16" ht="13.5" thickBot="1">
      <c r="A162" s="89"/>
      <c r="B162" s="82">
        <f>B161+7</f>
        <v>43835</v>
      </c>
      <c r="C162" s="20">
        <f>D161+G161-H161</f>
        <v>54266.3853855091</v>
      </c>
      <c r="D162" s="17">
        <f>C162+(C162*0.04)</f>
        <v>56437.040800929462</v>
      </c>
      <c r="E162" s="17">
        <f>C162/3250</f>
        <v>16.697349349387416</v>
      </c>
      <c r="F162" s="28">
        <f>(D162-C162)/E162</f>
        <v>129.99999999999989</v>
      </c>
      <c r="G162" s="81"/>
      <c r="H162" s="81"/>
      <c r="I162" s="19">
        <f>E162*50/C162</f>
        <v>1.5384615384615385E-2</v>
      </c>
      <c r="J162" s="18">
        <f>C162-(E162*1080)</f>
        <v>36233.248088170687</v>
      </c>
      <c r="K162" s="95"/>
      <c r="L162" s="96"/>
      <c r="M162" s="96"/>
      <c r="N162" s="96"/>
      <c r="O162" s="96"/>
      <c r="P162" s="96"/>
    </row>
    <row r="163" spans="1:16" ht="13.5" thickBot="1">
      <c r="A163" s="79"/>
      <c r="B163" s="13"/>
      <c r="C163" s="22"/>
      <c r="D163" s="23"/>
      <c r="E163" s="23"/>
      <c r="F163" s="27"/>
      <c r="G163" s="23"/>
      <c r="H163" s="10"/>
      <c r="I163" s="24"/>
      <c r="J163" s="25"/>
    </row>
    <row r="164" spans="1:16">
      <c r="A164" s="87">
        <v>33</v>
      </c>
      <c r="B164" s="82">
        <f>B162+7</f>
        <v>43842</v>
      </c>
      <c r="C164" s="20">
        <f>D162+G162-H162</f>
        <v>56437.040800929462</v>
      </c>
      <c r="D164" s="17">
        <f>C164+(C164*0.04)</f>
        <v>58694.522432966638</v>
      </c>
      <c r="E164" s="17">
        <f>C164/3250</f>
        <v>17.365243323362911</v>
      </c>
      <c r="F164" s="28">
        <f>(D164-C164)/E164</f>
        <v>129.99999999999983</v>
      </c>
      <c r="G164" s="18"/>
      <c r="H164" s="18"/>
      <c r="I164" s="19">
        <f>E164*50/C164</f>
        <v>1.5384615384615384E-2</v>
      </c>
      <c r="J164" s="18">
        <f>C164-(E164*1080)</f>
        <v>37682.578011697522</v>
      </c>
    </row>
    <row r="165" spans="1:16">
      <c r="A165" s="88"/>
      <c r="B165" s="82">
        <f>B164+7</f>
        <v>43849</v>
      </c>
      <c r="C165" s="20">
        <f>D164+G164-H164</f>
        <v>58694.522432966638</v>
      </c>
      <c r="D165" s="17">
        <f>C165+(C165*0.04)</f>
        <v>61042.3033302853</v>
      </c>
      <c r="E165" s="17">
        <f>C165/3250</f>
        <v>18.059853056297428</v>
      </c>
      <c r="F165" s="28">
        <f>(D165-C165)/E165</f>
        <v>129.9999999999998</v>
      </c>
      <c r="G165" s="18"/>
      <c r="H165" s="18"/>
      <c r="I165" s="19">
        <f>E165*50/C165</f>
        <v>1.5384615384615384E-2</v>
      </c>
      <c r="J165" s="18">
        <f>C165-(E165*1080)</f>
        <v>39189.881132165421</v>
      </c>
      <c r="K165" s="31"/>
      <c r="L165" s="31"/>
    </row>
    <row r="166" spans="1:16">
      <c r="A166" s="88"/>
      <c r="B166" s="82">
        <f>B165+7</f>
        <v>43856</v>
      </c>
      <c r="C166" s="20">
        <f>D165+G165-H165</f>
        <v>61042.3033302853</v>
      </c>
      <c r="D166" s="17">
        <f>C166+(C166*0.04)</f>
        <v>63483.995463496714</v>
      </c>
      <c r="E166" s="17">
        <f>C166/3250</f>
        <v>18.782247178549323</v>
      </c>
      <c r="F166" s="28">
        <f>(D166-C166)/E166</f>
        <v>130.00000000000011</v>
      </c>
      <c r="G166" s="18"/>
      <c r="H166" s="18"/>
      <c r="I166" s="19">
        <f>E166*50/C166</f>
        <v>1.5384615384615385E-2</v>
      </c>
      <c r="J166" s="18">
        <f>C166-(E166*1080)</f>
        <v>40757.476377452032</v>
      </c>
      <c r="K166" s="31"/>
      <c r="L166" s="31"/>
    </row>
    <row r="167" spans="1:16" ht="13.5" thickBot="1">
      <c r="A167" s="89"/>
      <c r="B167" s="82">
        <f>B166+7</f>
        <v>43863</v>
      </c>
      <c r="C167" s="20">
        <f>D166+G166-H166</f>
        <v>63483.995463496714</v>
      </c>
      <c r="D167" s="17">
        <f>C167+(C167*0.04)</f>
        <v>66023.355282036588</v>
      </c>
      <c r="E167" s="17">
        <f>C167/3250</f>
        <v>19.533537065691295</v>
      </c>
      <c r="F167" s="28">
        <f>(D167-C167)/E167</f>
        <v>130.00000000000026</v>
      </c>
      <c r="G167" s="81"/>
      <c r="H167" s="81">
        <f>(D167-C154)*0.35</f>
        <v>8674.8768293250323</v>
      </c>
      <c r="I167" s="19">
        <f>E167*50/C167</f>
        <v>1.5384615384615384E-2</v>
      </c>
      <c r="J167" s="18">
        <f>C167-(E167*1080)</f>
        <v>42387.775432550116</v>
      </c>
      <c r="K167" s="90" t="s">
        <v>44</v>
      </c>
      <c r="L167" s="91"/>
      <c r="M167" s="91"/>
      <c r="N167" s="91"/>
      <c r="O167" s="91"/>
      <c r="P167" s="91"/>
    </row>
    <row r="168" spans="1:16" ht="13.5" thickBot="1">
      <c r="A168" s="79"/>
      <c r="B168" s="13"/>
      <c r="C168" s="22"/>
      <c r="D168" s="23"/>
      <c r="E168" s="23"/>
      <c r="F168" s="27"/>
      <c r="G168" s="23"/>
      <c r="H168" s="10"/>
      <c r="I168" s="24"/>
      <c r="J168" s="25"/>
    </row>
    <row r="169" spans="1:16">
      <c r="A169" s="87">
        <v>34</v>
      </c>
      <c r="B169" s="82">
        <f>B167+7</f>
        <v>43870</v>
      </c>
      <c r="C169" s="20">
        <f>D167+G167-H167</f>
        <v>57348.478452711555</v>
      </c>
      <c r="D169" s="17">
        <f>C169+(C169*0.04)</f>
        <v>59642.41759082002</v>
      </c>
      <c r="E169" s="17">
        <f>C169/3250</f>
        <v>17.645685677757402</v>
      </c>
      <c r="F169" s="28">
        <f>(D169-C169)/E169</f>
        <v>130.00000000000011</v>
      </c>
      <c r="G169" s="18"/>
      <c r="H169" s="18"/>
      <c r="I169" s="19">
        <f>E169*50/C169</f>
        <v>1.5384615384615385E-2</v>
      </c>
      <c r="J169" s="18">
        <f>C169-(E169*1080)</f>
        <v>38291.137920733556</v>
      </c>
    </row>
    <row r="170" spans="1:16">
      <c r="A170" s="88"/>
      <c r="B170" s="82">
        <f>B169+7</f>
        <v>43877</v>
      </c>
      <c r="C170" s="20">
        <f>D169+G169-H169</f>
        <v>59642.41759082002</v>
      </c>
      <c r="D170" s="17">
        <f>C170+(C170*0.04)</f>
        <v>62028.114294452818</v>
      </c>
      <c r="E170" s="17">
        <f>C170/3250</f>
        <v>18.351513104867699</v>
      </c>
      <c r="F170" s="28">
        <f>(D170-C170)/E170</f>
        <v>129.99999999999989</v>
      </c>
      <c r="G170" s="18"/>
      <c r="H170" s="18"/>
      <c r="I170" s="19">
        <f>E170*50/C170</f>
        <v>1.5384615384615385E-2</v>
      </c>
      <c r="J170" s="18">
        <f>C170-(E170*1080)</f>
        <v>39822.783437562903</v>
      </c>
    </row>
    <row r="171" spans="1:16">
      <c r="A171" s="88"/>
      <c r="B171" s="82">
        <f>B170+7</f>
        <v>43884</v>
      </c>
      <c r="C171" s="20">
        <f>D170+G170-H170</f>
        <v>62028.114294452818</v>
      </c>
      <c r="D171" s="17">
        <f>C171+(C171*0.04)</f>
        <v>64509.238866230931</v>
      </c>
      <c r="E171" s="17">
        <f>C171/3250</f>
        <v>19.085573629062406</v>
      </c>
      <c r="F171" s="28">
        <f>(D171-C171)/E171</f>
        <v>130</v>
      </c>
      <c r="G171" s="18"/>
      <c r="H171" s="18"/>
      <c r="I171" s="19">
        <f>E171*50/C171</f>
        <v>1.5384615384615384E-2</v>
      </c>
      <c r="J171" s="18">
        <f>C171-(E171*1080)</f>
        <v>41415.694775065422</v>
      </c>
    </row>
    <row r="172" spans="1:16" ht="13.5" thickBot="1">
      <c r="A172" s="89"/>
      <c r="B172" s="82">
        <f>B171+7</f>
        <v>43891</v>
      </c>
      <c r="C172" s="20">
        <f>D171+G171-H171</f>
        <v>64509.238866230931</v>
      </c>
      <c r="D172" s="17">
        <f>C172+(C172*0.04)</f>
        <v>67089.608420880162</v>
      </c>
      <c r="E172" s="17">
        <f>C172/3250</f>
        <v>19.848996574224902</v>
      </c>
      <c r="F172" s="28">
        <f>(D172-C172)/E172</f>
        <v>129.99999999999969</v>
      </c>
      <c r="G172" s="81"/>
      <c r="H172" s="81"/>
      <c r="I172" s="19">
        <f>E172*50/C172</f>
        <v>1.5384615384615385E-2</v>
      </c>
      <c r="J172" s="18">
        <f>C172-(E172*1080)</f>
        <v>43072.322566068033</v>
      </c>
      <c r="K172" s="95"/>
      <c r="L172" s="96"/>
      <c r="M172" s="96"/>
      <c r="N172" s="96"/>
      <c r="O172" s="96"/>
      <c r="P172" s="96"/>
    </row>
    <row r="173" spans="1:16" ht="13.5" thickBot="1">
      <c r="A173" s="79"/>
      <c r="B173" s="13"/>
      <c r="C173" s="22"/>
      <c r="D173" s="23"/>
      <c r="E173" s="23"/>
      <c r="F173" s="27"/>
      <c r="G173" s="23"/>
      <c r="H173" s="10"/>
      <c r="I173" s="24"/>
      <c r="J173" s="25"/>
    </row>
    <row r="174" spans="1:16">
      <c r="A174" s="87">
        <v>35</v>
      </c>
      <c r="B174" s="82">
        <f>B172+7</f>
        <v>43898</v>
      </c>
      <c r="C174" s="20">
        <f>D172+G172-H172</f>
        <v>67089.608420880162</v>
      </c>
      <c r="D174" s="17">
        <f>C174+(C174*0.04)</f>
        <v>69773.192757715369</v>
      </c>
      <c r="E174" s="17">
        <f>C174/3250</f>
        <v>20.642956437193895</v>
      </c>
      <c r="F174" s="28">
        <f>(D174-C174)/E174</f>
        <v>130.00000000000003</v>
      </c>
      <c r="G174" s="18"/>
      <c r="H174" s="18"/>
      <c r="I174" s="19">
        <f>E174*50/C174</f>
        <v>1.5384615384615382E-2</v>
      </c>
      <c r="J174" s="18">
        <f>C174-(E174*1080)</f>
        <v>44795.215468710754</v>
      </c>
    </row>
    <row r="175" spans="1:16">
      <c r="A175" s="88"/>
      <c r="B175" s="82">
        <f>B174+7</f>
        <v>43905</v>
      </c>
      <c r="C175" s="20">
        <f>D174+G174-H174</f>
        <v>69773.192757715369</v>
      </c>
      <c r="D175" s="17">
        <f>C175+(C175*0.04)</f>
        <v>72564.12046802399</v>
      </c>
      <c r="E175" s="17">
        <f>C175/3250</f>
        <v>21.468674694681653</v>
      </c>
      <c r="F175" s="28">
        <f>(D175-C175)/E175</f>
        <v>130.00000000000026</v>
      </c>
      <c r="G175" s="18"/>
      <c r="H175" s="18"/>
      <c r="I175" s="19">
        <f>E175*50/C175</f>
        <v>1.5384615384615385E-2</v>
      </c>
      <c r="J175" s="18">
        <f>C175-(E175*1080)</f>
        <v>46587.024087459184</v>
      </c>
    </row>
    <row r="176" spans="1:16">
      <c r="A176" s="88"/>
      <c r="B176" s="82">
        <f>B175+7</f>
        <v>43912</v>
      </c>
      <c r="C176" s="20">
        <f>D175+G175-H175</f>
        <v>72564.12046802399</v>
      </c>
      <c r="D176" s="17">
        <f>C176+(C176*0.04)</f>
        <v>75466.685286744949</v>
      </c>
      <c r="E176" s="17">
        <f>C176/3250</f>
        <v>22.32742168246892</v>
      </c>
      <c r="F176" s="28">
        <f>(D176-C176)/E176</f>
        <v>129.99999999999997</v>
      </c>
      <c r="G176" s="18"/>
      <c r="H176" s="18"/>
      <c r="I176" s="19">
        <f>E176*50/C176</f>
        <v>1.5384615384615385E-2</v>
      </c>
      <c r="J176" s="18">
        <f>C176-(E176*1080)</f>
        <v>48450.505050957552</v>
      </c>
    </row>
    <row r="177" spans="1:16" ht="13.5" thickBot="1">
      <c r="A177" s="89"/>
      <c r="B177" s="82">
        <f>B176+7</f>
        <v>43919</v>
      </c>
      <c r="C177" s="20">
        <f>D176+G176-H176</f>
        <v>75466.685286744949</v>
      </c>
      <c r="D177" s="17">
        <f>C177+(C177*0.04)</f>
        <v>78485.352698214745</v>
      </c>
      <c r="E177" s="17">
        <f>C177/3250</f>
        <v>23.220518549767675</v>
      </c>
      <c r="F177" s="28">
        <f>(D177-C177)/E177</f>
        <v>129.99999999999994</v>
      </c>
      <c r="G177" s="81"/>
      <c r="H177" s="81">
        <f>(D177-C169)*0.35</f>
        <v>7397.905985926116</v>
      </c>
      <c r="I177" s="19">
        <f>E177*50/C177</f>
        <v>1.5384615384615384E-2</v>
      </c>
      <c r="J177" s="18">
        <f>C177-(E177*1080)</f>
        <v>50388.52525299586</v>
      </c>
      <c r="K177" s="90" t="s">
        <v>44</v>
      </c>
      <c r="L177" s="91"/>
      <c r="M177" s="91"/>
      <c r="N177" s="91"/>
      <c r="O177" s="91"/>
      <c r="P177" s="91"/>
    </row>
    <row r="178" spans="1:16" ht="13.5" thickBot="1">
      <c r="A178" s="79"/>
      <c r="B178" s="13"/>
      <c r="C178" s="22"/>
      <c r="D178" s="23"/>
      <c r="E178" s="23"/>
      <c r="F178" s="27"/>
      <c r="G178" s="23"/>
      <c r="H178" s="10"/>
      <c r="I178" s="24"/>
      <c r="J178" s="25"/>
    </row>
  </sheetData>
  <mergeCells count="71"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B1:J1"/>
    <mergeCell ref="A4:A7"/>
    <mergeCell ref="K7:P7"/>
    <mergeCell ref="A9:A12"/>
    <mergeCell ref="K12:P12"/>
    <mergeCell ref="A14:A17"/>
    <mergeCell ref="K17:P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11" sqref="C11"/>
    </sheetView>
  </sheetViews>
  <sheetFormatPr defaultRowHeight="12.75"/>
  <cols>
    <col min="1" max="1" width="9.5703125" style="75" bestFit="1" customWidth="1"/>
    <col min="2" max="2" width="9.7109375" style="76" bestFit="1" customWidth="1"/>
    <col min="3" max="3" width="10.85546875" style="76" bestFit="1" customWidth="1"/>
    <col min="4" max="4" width="15.7109375" style="76" bestFit="1" customWidth="1"/>
    <col min="5" max="5" width="7.85546875" style="76" bestFit="1" customWidth="1"/>
    <col min="6" max="6" width="6.28515625" style="76" bestFit="1" customWidth="1"/>
    <col min="7" max="7" width="8.7109375" style="76" bestFit="1" customWidth="1"/>
    <col min="8" max="8" width="9.5703125" style="76" bestFit="1" customWidth="1"/>
    <col min="9" max="9" width="9" style="76" bestFit="1" customWidth="1"/>
    <col min="10" max="10" width="10.85546875" style="76" bestFit="1" customWidth="1"/>
    <col min="11" max="16384" width="9.140625" style="76"/>
  </cols>
  <sheetData>
    <row r="1" spans="1:16" ht="13.5" thickBot="1">
      <c r="B1" s="92"/>
      <c r="C1" s="93"/>
      <c r="D1" s="93"/>
      <c r="E1" s="93"/>
      <c r="F1" s="93"/>
      <c r="G1" s="93"/>
      <c r="H1" s="93"/>
      <c r="I1" s="93"/>
      <c r="J1" s="94"/>
    </row>
    <row r="2" spans="1:16" ht="13.5" thickBot="1">
      <c r="A2" s="77" t="s">
        <v>41</v>
      </c>
      <c r="B2" s="3" t="s">
        <v>3</v>
      </c>
      <c r="C2" s="4" t="s">
        <v>47</v>
      </c>
      <c r="D2" s="5" t="s">
        <v>48</v>
      </c>
      <c r="E2" s="5" t="s">
        <v>49</v>
      </c>
      <c r="F2" s="5" t="s">
        <v>50</v>
      </c>
      <c r="G2" s="5" t="s">
        <v>6</v>
      </c>
      <c r="H2" s="5" t="s">
        <v>6</v>
      </c>
      <c r="I2" s="14" t="s">
        <v>42</v>
      </c>
      <c r="J2" s="14" t="s">
        <v>43</v>
      </c>
    </row>
    <row r="3" spans="1:16" ht="13.5" thickBot="1">
      <c r="A3" s="78"/>
      <c r="B3" s="3" t="s">
        <v>8</v>
      </c>
      <c r="C3" s="7" t="s">
        <v>9</v>
      </c>
      <c r="D3" s="8" t="s">
        <v>9</v>
      </c>
      <c r="E3" s="8" t="s">
        <v>17</v>
      </c>
      <c r="F3" s="8" t="s">
        <v>18</v>
      </c>
      <c r="G3" s="8" t="s">
        <v>10</v>
      </c>
      <c r="H3" s="8" t="s">
        <v>11</v>
      </c>
      <c r="I3" s="14" t="s">
        <v>19</v>
      </c>
      <c r="J3" s="14" t="s">
        <v>20</v>
      </c>
    </row>
    <row r="4" spans="1:16">
      <c r="A4" s="87">
        <v>1</v>
      </c>
      <c r="B4" s="82">
        <v>42904</v>
      </c>
      <c r="C4" s="20">
        <v>200</v>
      </c>
      <c r="D4" s="17">
        <f>C4+(C4*0)</f>
        <v>200</v>
      </c>
      <c r="E4" s="17">
        <f>C4/3250</f>
        <v>6.1538461538461542E-2</v>
      </c>
      <c r="F4" s="34">
        <f>(D4-C4)/E4</f>
        <v>0</v>
      </c>
      <c r="G4" s="18"/>
      <c r="H4" s="18"/>
      <c r="I4" s="19">
        <f>E4*50/C4</f>
        <v>1.5384615384615385E-2</v>
      </c>
      <c r="J4" s="18">
        <f>C4-(E4*1080)</f>
        <v>133.53846153846155</v>
      </c>
    </row>
    <row r="5" spans="1:16">
      <c r="A5" s="88"/>
      <c r="B5" s="82">
        <f>B4+7</f>
        <v>42911</v>
      </c>
      <c r="C5" s="20">
        <f>D4+G4-H4</f>
        <v>200</v>
      </c>
      <c r="D5" s="17">
        <f>C5+(C5*0.015)</f>
        <v>203</v>
      </c>
      <c r="E5" s="17">
        <f>C5/3250</f>
        <v>6.1538461538461542E-2</v>
      </c>
      <c r="F5" s="34">
        <f>(D5-C5)/E5</f>
        <v>48.75</v>
      </c>
      <c r="G5" s="18"/>
      <c r="H5" s="18"/>
      <c r="I5" s="19">
        <f>E5*50/C5</f>
        <v>1.5384615384615385E-2</v>
      </c>
      <c r="J5" s="18">
        <f>C5-(E5*1080)</f>
        <v>133.53846153846155</v>
      </c>
    </row>
    <row r="6" spans="1:16">
      <c r="A6" s="88"/>
      <c r="B6" s="82">
        <f>B5+7</f>
        <v>42918</v>
      </c>
      <c r="C6" s="20">
        <f>D5+G5-H5</f>
        <v>203</v>
      </c>
      <c r="D6" s="17">
        <f>C6+(C6*0.054)</f>
        <v>213.96199999999999</v>
      </c>
      <c r="E6" s="17">
        <f>C6/3250</f>
        <v>6.2461538461538464E-2</v>
      </c>
      <c r="F6" s="34">
        <f>(D6-C6)/E6</f>
        <v>175.49999999999983</v>
      </c>
      <c r="G6" s="18"/>
      <c r="H6" s="18"/>
      <c r="I6" s="19">
        <f>E6*50/C6</f>
        <v>1.5384615384615385E-2</v>
      </c>
      <c r="J6" s="18">
        <f>C6-(E6*1080)</f>
        <v>135.54153846153847</v>
      </c>
    </row>
    <row r="7" spans="1:16" ht="13.5" thickBot="1">
      <c r="A7" s="89"/>
      <c r="B7" s="82">
        <f>B6+7</f>
        <v>42925</v>
      </c>
      <c r="C7" s="20">
        <f>D6+G6-H6</f>
        <v>213.96199999999999</v>
      </c>
      <c r="D7" s="17">
        <f>C7+(C7*0.0483)</f>
        <v>224.2963646</v>
      </c>
      <c r="E7" s="17">
        <f>C7/3250</f>
        <v>6.5834461538461536E-2</v>
      </c>
      <c r="F7" s="34">
        <f>(D7-C7)/E7</f>
        <v>156.97500000000022</v>
      </c>
      <c r="G7" s="18"/>
      <c r="H7" s="18"/>
      <c r="I7" s="19">
        <f>E7*50/C7</f>
        <v>1.5384615384615385E-2</v>
      </c>
      <c r="J7" s="18">
        <f>C7-(E7*1080)</f>
        <v>142.86078153846154</v>
      </c>
      <c r="K7" s="95"/>
      <c r="L7" s="96"/>
      <c r="M7" s="96"/>
      <c r="N7" s="96"/>
      <c r="O7" s="96"/>
      <c r="P7" s="96"/>
    </row>
    <row r="8" spans="1:16" ht="13.5" thickBot="1">
      <c r="A8" s="79"/>
      <c r="B8" s="13"/>
      <c r="C8" s="22"/>
      <c r="D8" s="23"/>
      <c r="E8" s="23"/>
      <c r="F8" s="27"/>
      <c r="G8" s="23"/>
      <c r="H8" s="10"/>
      <c r="I8" s="24"/>
      <c r="J8" s="25"/>
    </row>
    <row r="9" spans="1:16">
      <c r="A9" s="87">
        <v>2</v>
      </c>
      <c r="B9" s="82">
        <f>B7+7</f>
        <v>42932</v>
      </c>
      <c r="C9" s="20">
        <f>D7+G7-H7</f>
        <v>224.2963646</v>
      </c>
      <c r="D9" s="17">
        <f>C9+(C9*-0.074)</f>
        <v>207.6984336196</v>
      </c>
      <c r="E9" s="17">
        <f>C9/3250</f>
        <v>6.9014266030769225E-2</v>
      </c>
      <c r="F9" s="37">
        <f>(D9-C9)/E9</f>
        <v>-240.50000000000014</v>
      </c>
      <c r="G9" s="18"/>
      <c r="H9" s="18"/>
      <c r="I9" s="19">
        <f>E9*50/C9</f>
        <v>1.5384615384615384E-2</v>
      </c>
      <c r="J9" s="18">
        <f>C9-(E9*1080)</f>
        <v>149.76095728676924</v>
      </c>
    </row>
    <row r="10" spans="1:16">
      <c r="A10" s="88"/>
      <c r="B10" s="82">
        <f>B9+7</f>
        <v>42939</v>
      </c>
      <c r="C10" s="20">
        <f>D9+G9-H9</f>
        <v>207.6984336196</v>
      </c>
      <c r="D10" s="17">
        <f>C10+(C10*0.0427)</f>
        <v>216.56715673515691</v>
      </c>
      <c r="E10" s="17">
        <f>C10/3250</f>
        <v>6.3907210344492302E-2</v>
      </c>
      <c r="F10" s="34">
        <f>(D10-C10)/E10</f>
        <v>138.77499999999998</v>
      </c>
      <c r="G10" s="18"/>
      <c r="H10" s="18"/>
      <c r="I10" s="19">
        <f>E10*50/C10</f>
        <v>1.5384615384615384E-2</v>
      </c>
      <c r="J10" s="18">
        <f>C10-(E10*1080)</f>
        <v>138.67864644754832</v>
      </c>
    </row>
    <row r="11" spans="1:16" ht="15">
      <c r="A11" s="88"/>
      <c r="B11" s="82">
        <f>B10+7</f>
        <v>42946</v>
      </c>
      <c r="C11" s="32">
        <f>D10+G10-H10</f>
        <v>216.56715673515691</v>
      </c>
      <c r="D11" s="17">
        <f>C11+(C11*0.04)</f>
        <v>225.22984300456318</v>
      </c>
      <c r="E11" s="17">
        <f>C11/3250</f>
        <v>6.663604822620213E-2</v>
      </c>
      <c r="F11" s="28">
        <f>(D11-C11)/E11</f>
        <v>129.99999999999983</v>
      </c>
      <c r="G11" s="18"/>
      <c r="H11" s="18"/>
      <c r="I11" s="19">
        <f>E11*50/C11</f>
        <v>1.5384615384615385E-2</v>
      </c>
      <c r="J11" s="18">
        <f>C11-(E11*1080)</f>
        <v>144.60022465085859</v>
      </c>
    </row>
    <row r="12" spans="1:16" ht="13.5" thickBot="1">
      <c r="A12" s="89"/>
      <c r="B12" s="82">
        <f>B11+7</f>
        <v>42953</v>
      </c>
      <c r="C12" s="20">
        <f>D11+G11-H11</f>
        <v>225.22984300456318</v>
      </c>
      <c r="D12" s="17">
        <f>C12+(C12*0.04)</f>
        <v>234.23903672474572</v>
      </c>
      <c r="E12" s="17">
        <f>C12/3250</f>
        <v>6.9301490155250209E-2</v>
      </c>
      <c r="F12" s="28">
        <f>(D12-C12)/E12</f>
        <v>130.00000000000014</v>
      </c>
      <c r="G12" s="18"/>
      <c r="H12" s="18"/>
      <c r="I12" s="19">
        <f>E12*50/C12</f>
        <v>1.5384615384615384E-2</v>
      </c>
      <c r="J12" s="18">
        <f>C12-(E12*1080)</f>
        <v>150.38423363689296</v>
      </c>
      <c r="K12" s="95"/>
      <c r="L12" s="96"/>
      <c r="M12" s="96"/>
      <c r="N12" s="96"/>
      <c r="O12" s="96"/>
      <c r="P12" s="96"/>
    </row>
    <row r="13" spans="1:16" ht="13.5" thickBot="1">
      <c r="A13" s="79"/>
      <c r="B13" s="13"/>
      <c r="C13" s="22"/>
      <c r="D13" s="23"/>
      <c r="E13" s="23"/>
      <c r="F13" s="27"/>
      <c r="G13" s="23"/>
      <c r="H13" s="10"/>
      <c r="I13" s="24"/>
      <c r="J13" s="25"/>
    </row>
    <row r="14" spans="1:16">
      <c r="A14" s="87">
        <v>3</v>
      </c>
      <c r="B14" s="82">
        <f>B12+7</f>
        <v>42960</v>
      </c>
      <c r="C14" s="20">
        <f>D12+G12-H12</f>
        <v>234.23903672474572</v>
      </c>
      <c r="D14" s="17">
        <f>C14+(C14*0.04)</f>
        <v>243.60859819373553</v>
      </c>
      <c r="E14" s="17">
        <f>C14/3250</f>
        <v>7.2073549761460215E-2</v>
      </c>
      <c r="F14" s="28">
        <f>(D14-C14)/E14</f>
        <v>129.99999999999983</v>
      </c>
      <c r="G14" s="18"/>
      <c r="H14" s="18"/>
      <c r="I14" s="19">
        <f>E14*50/C14</f>
        <v>1.5384615384615384E-2</v>
      </c>
      <c r="J14" s="18">
        <f>C14-(E14*1080)</f>
        <v>156.39960298236869</v>
      </c>
    </row>
    <row r="15" spans="1:16">
      <c r="A15" s="88"/>
      <c r="B15" s="82">
        <f>B14+7</f>
        <v>42967</v>
      </c>
      <c r="C15" s="20">
        <f>D14+G14-H14</f>
        <v>243.60859819373553</v>
      </c>
      <c r="D15" s="17">
        <f>C15+(C15*0.04)</f>
        <v>253.35294212148494</v>
      </c>
      <c r="E15" s="17">
        <f>C15/3250</f>
        <v>7.4956491751918625E-2</v>
      </c>
      <c r="F15" s="28">
        <f>(D15-C15)/E15</f>
        <v>129.99999999999989</v>
      </c>
      <c r="G15" s="18"/>
      <c r="H15" s="18"/>
      <c r="I15" s="19">
        <f>E15*50/C15</f>
        <v>1.5384615384615384E-2</v>
      </c>
      <c r="J15" s="18">
        <f>C15-(E15*1080)</f>
        <v>162.6555871016634</v>
      </c>
    </row>
    <row r="16" spans="1:16">
      <c r="A16" s="88"/>
      <c r="B16" s="82">
        <f>B15+7</f>
        <v>42974</v>
      </c>
      <c r="C16" s="20">
        <f>D15+G15-H15</f>
        <v>253.35294212148494</v>
      </c>
      <c r="D16" s="17">
        <f>C16+(C16*0.04)</f>
        <v>263.48705980634435</v>
      </c>
      <c r="E16" s="17">
        <f>C16/3250</f>
        <v>7.7954751421995372E-2</v>
      </c>
      <c r="F16" s="28">
        <f>(D16-C16)/E16</f>
        <v>130.00000000000009</v>
      </c>
      <c r="G16" s="18"/>
      <c r="H16" s="18"/>
      <c r="I16" s="19">
        <f>E16*50/C16</f>
        <v>1.5384615384615385E-2</v>
      </c>
      <c r="J16" s="18">
        <f>C16-(E16*1080)</f>
        <v>169.16181058572994</v>
      </c>
    </row>
    <row r="17" spans="1:16" ht="13.5" thickBot="1">
      <c r="A17" s="89"/>
      <c r="B17" s="82">
        <f>B16+7</f>
        <v>42981</v>
      </c>
      <c r="C17" s="20">
        <f>D16+G16-H16</f>
        <v>263.48705980634435</v>
      </c>
      <c r="D17" s="17">
        <f>C17+(C17*0.04)</f>
        <v>274.02654219859812</v>
      </c>
      <c r="E17" s="17">
        <f>C17/3250</f>
        <v>8.1072941478875185E-2</v>
      </c>
      <c r="F17" s="28">
        <f>(D17-C17)/E17</f>
        <v>130</v>
      </c>
      <c r="G17" s="18"/>
      <c r="H17" s="81">
        <f>(D17-C4)*0.3</f>
        <v>22.207962659579437</v>
      </c>
      <c r="I17" s="19">
        <f>E17*50/C17</f>
        <v>1.5384615384615385E-2</v>
      </c>
      <c r="J17" s="18">
        <f>C17-(E17*1080)</f>
        <v>175.92828300915914</v>
      </c>
      <c r="K17" s="90" t="s">
        <v>45</v>
      </c>
      <c r="L17" s="91"/>
      <c r="M17" s="91"/>
      <c r="N17" s="91"/>
      <c r="O17" s="91"/>
      <c r="P17" s="91"/>
    </row>
    <row r="18" spans="1:16" ht="13.5" thickBot="1">
      <c r="A18" s="79"/>
      <c r="B18" s="13"/>
      <c r="C18" s="22"/>
      <c r="D18" s="23"/>
      <c r="E18" s="23"/>
      <c r="F18" s="27"/>
      <c r="G18" s="23"/>
      <c r="H18" s="10"/>
      <c r="I18" s="24"/>
      <c r="J18" s="25"/>
    </row>
    <row r="19" spans="1:16">
      <c r="A19" s="87">
        <v>4</v>
      </c>
      <c r="B19" s="82">
        <f>B17+7</f>
        <v>42988</v>
      </c>
      <c r="C19" s="20">
        <f>D17+G17-H17</f>
        <v>251.81857953901869</v>
      </c>
      <c r="D19" s="17">
        <f>C19+(C19*0.04)</f>
        <v>261.89132272057941</v>
      </c>
      <c r="E19" s="17">
        <f>C19/3250</f>
        <v>7.7482639858159591E-2</v>
      </c>
      <c r="F19" s="28">
        <f>(D19-C19)/E19</f>
        <v>129.99999999999972</v>
      </c>
      <c r="G19" s="18"/>
      <c r="H19" s="18"/>
      <c r="I19" s="19">
        <f>E19*50/C19</f>
        <v>1.5384615384615384E-2</v>
      </c>
      <c r="J19" s="18">
        <f>C19-(E19*1080)</f>
        <v>168.13732849220634</v>
      </c>
    </row>
    <row r="20" spans="1:16">
      <c r="A20" s="88"/>
      <c r="B20" s="82">
        <f>B19+7</f>
        <v>42995</v>
      </c>
      <c r="C20" s="20">
        <f>D19+G19-H19</f>
        <v>261.89132272057941</v>
      </c>
      <c r="D20" s="17">
        <f>C20+(C20*0.04)</f>
        <v>272.36697562940259</v>
      </c>
      <c r="E20" s="17">
        <f>C20/3250</f>
        <v>8.0581945452485967E-2</v>
      </c>
      <c r="F20" s="28">
        <f>(D20-C20)/E20</f>
        <v>130.00000000000003</v>
      </c>
      <c r="G20" s="18"/>
      <c r="H20" s="18"/>
      <c r="I20" s="19">
        <f>E20*50/C20</f>
        <v>1.5384615384615384E-2</v>
      </c>
      <c r="J20" s="18">
        <f>C20-(E20*1080)</f>
        <v>174.86282163189458</v>
      </c>
    </row>
    <row r="21" spans="1:16">
      <c r="A21" s="88"/>
      <c r="B21" s="82">
        <f>B20+7</f>
        <v>43002</v>
      </c>
      <c r="C21" s="20">
        <f>D20+G20-H20</f>
        <v>272.36697562940259</v>
      </c>
      <c r="D21" s="17">
        <f>C21+(C21*0.04)</f>
        <v>283.26165465457871</v>
      </c>
      <c r="E21" s="17">
        <f>C21/3250</f>
        <v>8.3805223270585413E-2</v>
      </c>
      <c r="F21" s="28">
        <f>(D21-C21)/E21</f>
        <v>130.00000000000017</v>
      </c>
      <c r="G21" s="18"/>
      <c r="H21" s="18"/>
      <c r="I21" s="19">
        <f>E21*50/C21</f>
        <v>1.5384615384615384E-2</v>
      </c>
      <c r="J21" s="18">
        <f>C21-(E21*1080)</f>
        <v>181.85733449717034</v>
      </c>
    </row>
    <row r="22" spans="1:16" ht="13.5" thickBot="1">
      <c r="A22" s="89"/>
      <c r="B22" s="82">
        <f>B21+7</f>
        <v>43009</v>
      </c>
      <c r="C22" s="20">
        <f>D21+G21-H21</f>
        <v>283.26165465457871</v>
      </c>
      <c r="D22" s="17">
        <f>C22+(C22*0.04)</f>
        <v>294.59212084076188</v>
      </c>
      <c r="E22" s="17">
        <f>C22/3250</f>
        <v>8.7157432201408827E-2</v>
      </c>
      <c r="F22" s="28">
        <f>(D22-C22)/E22</f>
        <v>130.00000000000028</v>
      </c>
      <c r="G22" s="18"/>
      <c r="H22" s="18"/>
      <c r="I22" s="19">
        <f>E22*50/C22</f>
        <v>1.5384615384615384E-2</v>
      </c>
      <c r="J22" s="18">
        <f>C22-(E22*1080)</f>
        <v>189.13162787705716</v>
      </c>
      <c r="K22" s="95"/>
      <c r="L22" s="96"/>
      <c r="M22" s="96"/>
      <c r="N22" s="96"/>
      <c r="O22" s="96"/>
      <c r="P22" s="96"/>
    </row>
    <row r="23" spans="1:16" ht="13.5" thickBot="1">
      <c r="A23" s="79"/>
      <c r="B23" s="13"/>
      <c r="C23" s="22"/>
      <c r="D23" s="23"/>
      <c r="E23" s="23"/>
      <c r="F23" s="27"/>
      <c r="G23" s="23"/>
      <c r="H23" s="10"/>
      <c r="I23" s="24"/>
      <c r="J23" s="25"/>
    </row>
    <row r="24" spans="1:16">
      <c r="A24" s="87">
        <v>5</v>
      </c>
      <c r="B24" s="82">
        <f>B22+7</f>
        <v>43016</v>
      </c>
      <c r="C24" s="20">
        <f>D22+G22-H22</f>
        <v>294.59212084076188</v>
      </c>
      <c r="D24" s="17">
        <f>C24+(C24*0.04)</f>
        <v>306.37580567439238</v>
      </c>
      <c r="E24" s="17">
        <f>C24/3250</f>
        <v>9.0643729489465197E-2</v>
      </c>
      <c r="F24" s="28">
        <f>(D24-C24)/E24</f>
        <v>130.00000000000028</v>
      </c>
      <c r="G24" s="18"/>
      <c r="H24" s="18"/>
      <c r="I24" s="19">
        <f>E24*50/C24</f>
        <v>1.5384615384615385E-2</v>
      </c>
      <c r="J24" s="18">
        <f>C24-(E24*1080)</f>
        <v>196.69689299213945</v>
      </c>
    </row>
    <row r="25" spans="1:16">
      <c r="A25" s="88"/>
      <c r="B25" s="82">
        <f>B24+7</f>
        <v>43023</v>
      </c>
      <c r="C25" s="20">
        <f>D24+G24-H24</f>
        <v>306.37580567439238</v>
      </c>
      <c r="D25" s="17">
        <f>C25+(C25*0.04)</f>
        <v>318.63083790136807</v>
      </c>
      <c r="E25" s="17">
        <f>C25/3250</f>
        <v>9.426947866904381E-2</v>
      </c>
      <c r="F25" s="28">
        <f>(D25-C25)/E25</f>
        <v>129.99999999999991</v>
      </c>
      <c r="G25" s="18"/>
      <c r="H25" s="18"/>
      <c r="I25" s="19">
        <f>E25*50/C25</f>
        <v>1.5384615384615385E-2</v>
      </c>
      <c r="J25" s="18">
        <f>C25-(E25*1080)</f>
        <v>204.56476871182508</v>
      </c>
    </row>
    <row r="26" spans="1:16">
      <c r="A26" s="88"/>
      <c r="B26" s="82">
        <f>B25+7</f>
        <v>43030</v>
      </c>
      <c r="C26" s="20">
        <f>D25+G25-H25</f>
        <v>318.63083790136807</v>
      </c>
      <c r="D26" s="17">
        <f>C26+(C26*0.04)</f>
        <v>331.37607141742279</v>
      </c>
      <c r="E26" s="17">
        <f>C26/3250</f>
        <v>9.8040257815805554E-2</v>
      </c>
      <c r="F26" s="28">
        <f>(D26-C26)/E26</f>
        <v>130.00000000000003</v>
      </c>
      <c r="G26" s="18"/>
      <c r="H26" s="18"/>
      <c r="I26" s="19">
        <f>E26*50/C26</f>
        <v>1.5384615384615385E-2</v>
      </c>
      <c r="J26" s="18">
        <f>C26-(E26*1080)</f>
        <v>212.74735946029807</v>
      </c>
    </row>
    <row r="27" spans="1:16" ht="13.5" thickBot="1">
      <c r="A27" s="89"/>
      <c r="B27" s="82">
        <f>B26+7</f>
        <v>43037</v>
      </c>
      <c r="C27" s="20">
        <f>D26+G26-H26</f>
        <v>331.37607141742279</v>
      </c>
      <c r="D27" s="17">
        <f>C27+(C27*0.04)</f>
        <v>344.63111427411968</v>
      </c>
      <c r="E27" s="17">
        <f>C27/3250</f>
        <v>0.10196186812843779</v>
      </c>
      <c r="F27" s="28">
        <f>(D27-C27)/E27</f>
        <v>129.99999999999977</v>
      </c>
      <c r="G27" s="18"/>
      <c r="H27" s="18"/>
      <c r="I27" s="19">
        <f>E27*50/C27</f>
        <v>1.5384615384615385E-2</v>
      </c>
      <c r="J27" s="18">
        <f>C27-(E27*1080)</f>
        <v>221.25725383870997</v>
      </c>
      <c r="K27" s="95"/>
      <c r="L27" s="96"/>
      <c r="M27" s="96"/>
      <c r="N27" s="96"/>
      <c r="O27" s="96"/>
      <c r="P27" s="96"/>
    </row>
    <row r="28" spans="1:16" ht="13.5" thickBot="1">
      <c r="A28" s="79"/>
      <c r="B28" s="13"/>
      <c r="C28" s="22"/>
      <c r="D28" s="23"/>
      <c r="E28" s="23"/>
      <c r="F28" s="27"/>
      <c r="G28" s="23"/>
      <c r="H28" s="10"/>
      <c r="I28" s="24"/>
      <c r="J28" s="25"/>
    </row>
    <row r="29" spans="1:16">
      <c r="A29" s="87">
        <v>6</v>
      </c>
      <c r="B29" s="82">
        <f>B27+7</f>
        <v>43044</v>
      </c>
      <c r="C29" s="20">
        <f>D27+G27-H27</f>
        <v>344.63111427411968</v>
      </c>
      <c r="D29" s="17">
        <f>C29+(C29*0.04)</f>
        <v>358.41635884508446</v>
      </c>
      <c r="E29" s="17">
        <f>C29/3250</f>
        <v>0.10604034285357529</v>
      </c>
      <c r="F29" s="28">
        <f>(D29-C29)/E29</f>
        <v>129.99999999999991</v>
      </c>
      <c r="G29" s="18"/>
      <c r="H29" s="18"/>
      <c r="I29" s="19">
        <f>E29*50/C29</f>
        <v>1.5384615384615384E-2</v>
      </c>
      <c r="J29" s="18">
        <f>C29-(E29*1080)</f>
        <v>230.10754399225837</v>
      </c>
    </row>
    <row r="30" spans="1:16">
      <c r="A30" s="88"/>
      <c r="B30" s="82">
        <f>B29+7</f>
        <v>43051</v>
      </c>
      <c r="C30" s="20">
        <f>D29+G29-H29</f>
        <v>358.41635884508446</v>
      </c>
      <c r="D30" s="17">
        <f>C30+(C30*0.04)</f>
        <v>372.75301319888786</v>
      </c>
      <c r="E30" s="17">
        <f>C30/3250</f>
        <v>0.11028195656771829</v>
      </c>
      <c r="F30" s="28">
        <f>(D30-C30)/E30</f>
        <v>130.00000000000017</v>
      </c>
      <c r="G30" s="18"/>
      <c r="H30" s="18"/>
      <c r="I30" s="19">
        <f>E30*50/C30</f>
        <v>1.5384615384615382E-2</v>
      </c>
      <c r="J30" s="18">
        <f>C30-(E30*1080)</f>
        <v>239.31184575194871</v>
      </c>
    </row>
    <row r="31" spans="1:16">
      <c r="A31" s="88"/>
      <c r="B31" s="82">
        <f>B30+7</f>
        <v>43058</v>
      </c>
      <c r="C31" s="20">
        <f>D30+G30-H30</f>
        <v>372.75301319888786</v>
      </c>
      <c r="D31" s="17">
        <f>C31+(C31*0.04)</f>
        <v>387.6631337268434</v>
      </c>
      <c r="E31" s="17">
        <f>C31/3250</f>
        <v>0.11469323483042704</v>
      </c>
      <c r="F31" s="28">
        <f>(D31-C31)/E31</f>
        <v>130.00000000000023</v>
      </c>
      <c r="G31" s="18"/>
      <c r="H31" s="18"/>
      <c r="I31" s="19">
        <f>E31*50/C31</f>
        <v>1.5384615384615385E-2</v>
      </c>
      <c r="J31" s="18">
        <f>C31-(E31*1080)</f>
        <v>248.88431958202665</v>
      </c>
    </row>
    <row r="32" spans="1:16" ht="13.5" thickBot="1">
      <c r="A32" s="89"/>
      <c r="B32" s="82">
        <f>B31+7</f>
        <v>43065</v>
      </c>
      <c r="C32" s="20">
        <f>D31+G31-H31</f>
        <v>387.6631337268434</v>
      </c>
      <c r="D32" s="17">
        <f>C32+(C32*0.04)</f>
        <v>403.16965907591714</v>
      </c>
      <c r="E32" s="17">
        <f>C32/3250</f>
        <v>0.11928096422364412</v>
      </c>
      <c r="F32" s="28">
        <f>(D32-C32)/E32</f>
        <v>130.00000000000003</v>
      </c>
      <c r="G32" s="18"/>
      <c r="H32" s="81">
        <f>(D32-C19)*0.35</f>
        <v>52.972877837914453</v>
      </c>
      <c r="I32" s="19">
        <f>E32*50/C32</f>
        <v>1.5384615384615384E-2</v>
      </c>
      <c r="J32" s="18">
        <f>C32-(E32*1080)</f>
        <v>258.83969236530777</v>
      </c>
      <c r="K32" s="90" t="s">
        <v>44</v>
      </c>
      <c r="L32" s="91"/>
      <c r="M32" s="91"/>
      <c r="N32" s="91"/>
      <c r="O32" s="91"/>
      <c r="P32" s="91"/>
    </row>
    <row r="33" spans="1:16" ht="13.5" thickBot="1">
      <c r="A33" s="79"/>
      <c r="B33" s="13"/>
      <c r="C33" s="22"/>
      <c r="D33" s="23"/>
      <c r="E33" s="23"/>
      <c r="F33" s="27"/>
      <c r="G33" s="23"/>
      <c r="H33" s="10"/>
      <c r="I33" s="24"/>
      <c r="J33" s="25"/>
    </row>
    <row r="34" spans="1:16">
      <c r="A34" s="87">
        <v>7</v>
      </c>
      <c r="B34" s="82">
        <f>B32+7</f>
        <v>43072</v>
      </c>
      <c r="C34" s="20">
        <f>D32+G32-H32</f>
        <v>350.1967812380027</v>
      </c>
      <c r="D34" s="17">
        <f>C34+(C34*0.04)</f>
        <v>364.20465248752282</v>
      </c>
      <c r="E34" s="17">
        <f>C34/3250</f>
        <v>0.10775285576553929</v>
      </c>
      <c r="F34" s="28">
        <f>(D34-C34)/E34</f>
        <v>130.00000000000011</v>
      </c>
      <c r="G34" s="18"/>
      <c r="H34" s="18"/>
      <c r="I34" s="19">
        <f>E34*50/C34</f>
        <v>1.5384615384615385E-2</v>
      </c>
      <c r="J34" s="18">
        <f>C34-(E34*1080)</f>
        <v>233.82369701122025</v>
      </c>
    </row>
    <row r="35" spans="1:16">
      <c r="A35" s="88"/>
      <c r="B35" s="82">
        <f>B34+7</f>
        <v>43079</v>
      </c>
      <c r="C35" s="20">
        <f>D34+G34-H34</f>
        <v>364.20465248752282</v>
      </c>
      <c r="D35" s="17">
        <f>C35+(C35*0.04)</f>
        <v>378.77283858702373</v>
      </c>
      <c r="E35" s="17">
        <f>C35/3250</f>
        <v>0.11206296999616087</v>
      </c>
      <c r="F35" s="28">
        <f>(D35-C35)/E35</f>
        <v>129.99999999999994</v>
      </c>
      <c r="G35" s="18"/>
      <c r="H35" s="18"/>
      <c r="I35" s="19">
        <f>E35*50/C35</f>
        <v>1.5384615384615385E-2</v>
      </c>
      <c r="J35" s="18">
        <f>C35-(E35*1080)</f>
        <v>243.17664489166907</v>
      </c>
    </row>
    <row r="36" spans="1:16">
      <c r="A36" s="88"/>
      <c r="B36" s="82">
        <f>B35+7</f>
        <v>43086</v>
      </c>
      <c r="C36" s="20">
        <f>D35+G35-H35</f>
        <v>378.77283858702373</v>
      </c>
      <c r="D36" s="17">
        <f>C36+(C36*0.04)</f>
        <v>393.92375213050468</v>
      </c>
      <c r="E36" s="17">
        <f>C36/3250</f>
        <v>0.1165454887960073</v>
      </c>
      <c r="F36" s="28">
        <f>(D36-C36)/E36</f>
        <v>130.00000000000003</v>
      </c>
      <c r="G36" s="18"/>
      <c r="H36" s="18"/>
      <c r="I36" s="19">
        <f>E36*50/C36</f>
        <v>1.5384615384615385E-2</v>
      </c>
      <c r="J36" s="18">
        <f>C36-(E36*1080)</f>
        <v>252.90371068733583</v>
      </c>
    </row>
    <row r="37" spans="1:16" ht="13.5" thickBot="1">
      <c r="A37" s="89"/>
      <c r="B37" s="82">
        <f>B36+7</f>
        <v>43093</v>
      </c>
      <c r="C37" s="20">
        <f>D36+G36-H36</f>
        <v>393.92375213050468</v>
      </c>
      <c r="D37" s="17">
        <f>C37+(C37*0.04)</f>
        <v>409.68070221572486</v>
      </c>
      <c r="E37" s="17">
        <f>C37/3250</f>
        <v>0.1212073083478476</v>
      </c>
      <c r="F37" s="28">
        <f>(D37-C37)/E37</f>
        <v>129.99999999999997</v>
      </c>
      <c r="G37" s="81"/>
      <c r="H37" s="81"/>
      <c r="I37" s="19">
        <f>E37*50/C37</f>
        <v>1.5384615384615385E-2</v>
      </c>
      <c r="J37" s="18">
        <f>C37-(E37*1080)</f>
        <v>263.01985911482927</v>
      </c>
      <c r="K37" s="95"/>
      <c r="L37" s="96"/>
      <c r="M37" s="96"/>
      <c r="N37" s="96"/>
      <c r="O37" s="96"/>
      <c r="P37" s="96"/>
    </row>
    <row r="38" spans="1:16" ht="13.5" thickBot="1">
      <c r="A38" s="79"/>
      <c r="B38" s="13"/>
      <c r="C38" s="22"/>
      <c r="D38" s="23"/>
      <c r="E38" s="23"/>
      <c r="F38" s="27"/>
      <c r="G38" s="23"/>
      <c r="H38" s="10"/>
      <c r="I38" s="24"/>
      <c r="J38" s="25"/>
    </row>
    <row r="39" spans="1:16">
      <c r="A39" s="87">
        <v>8</v>
      </c>
      <c r="B39" s="82">
        <f>B37+7</f>
        <v>43100</v>
      </c>
      <c r="C39" s="20">
        <f>D37+G37-H37</f>
        <v>409.68070221572486</v>
      </c>
      <c r="D39" s="17">
        <f>C39+(C39*0.04)</f>
        <v>426.06793030435387</v>
      </c>
      <c r="E39" s="17">
        <f>C39/3250</f>
        <v>0.1260556006817615</v>
      </c>
      <c r="F39" s="28">
        <f>(D39-C39)/E39</f>
        <v>130.00000000000006</v>
      </c>
      <c r="G39" s="18"/>
      <c r="H39" s="18"/>
      <c r="I39" s="19">
        <f>E39*50/C39</f>
        <v>1.5384615384615385E-2</v>
      </c>
      <c r="J39" s="18">
        <f>C39-(E39*1080)</f>
        <v>273.54065347942242</v>
      </c>
    </row>
    <row r="40" spans="1:16">
      <c r="A40" s="88"/>
      <c r="B40" s="82">
        <f>B39+7</f>
        <v>43107</v>
      </c>
      <c r="C40" s="20">
        <f>D39+G39-H39</f>
        <v>426.06793030435387</v>
      </c>
      <c r="D40" s="17">
        <f>C40+(C40*0.04)</f>
        <v>443.11064751652805</v>
      </c>
      <c r="E40" s="17">
        <f>C40/3250</f>
        <v>0.13109782470903195</v>
      </c>
      <c r="F40" s="28">
        <f>(D40-C40)/E40</f>
        <v>130.00000000000023</v>
      </c>
      <c r="G40" s="18"/>
      <c r="H40" s="18"/>
      <c r="I40" s="19">
        <f>E40*50/C40</f>
        <v>1.5384615384615384E-2</v>
      </c>
      <c r="J40" s="18">
        <f>C40-(E40*1080)</f>
        <v>284.48227961859936</v>
      </c>
    </row>
    <row r="41" spans="1:16">
      <c r="A41" s="88"/>
      <c r="B41" s="82">
        <f>B40+7</f>
        <v>43114</v>
      </c>
      <c r="C41" s="20">
        <f>D40+G40-H40</f>
        <v>443.11064751652805</v>
      </c>
      <c r="D41" s="17">
        <f>C41+(C41*0.04)</f>
        <v>460.83507341718916</v>
      </c>
      <c r="E41" s="17">
        <f>C41/3250</f>
        <v>0.13634173769739324</v>
      </c>
      <c r="F41" s="28">
        <f>(D41-C41)/E41</f>
        <v>129.99999999999997</v>
      </c>
      <c r="G41" s="18"/>
      <c r="H41" s="18"/>
      <c r="I41" s="19">
        <f>E41*50/C41</f>
        <v>1.5384615384615385E-2</v>
      </c>
      <c r="J41" s="18">
        <f>C41-(E41*1080)</f>
        <v>295.86157080334334</v>
      </c>
    </row>
    <row r="42" spans="1:16" ht="13.5" thickBot="1">
      <c r="A42" s="89"/>
      <c r="B42" s="82">
        <f>B41+7</f>
        <v>43121</v>
      </c>
      <c r="C42" s="20">
        <f>D41+G41-H41</f>
        <v>460.83507341718916</v>
      </c>
      <c r="D42" s="17">
        <f>C42+(C42*0.04)</f>
        <v>479.26847635387674</v>
      </c>
      <c r="E42" s="17">
        <f>C42/3250</f>
        <v>0.14179540720528896</v>
      </c>
      <c r="F42" s="28">
        <f>(D42-C42)/E42</f>
        <v>130.00000000000003</v>
      </c>
      <c r="G42" s="81"/>
      <c r="H42" s="81"/>
      <c r="I42" s="19">
        <f>E42*50/C42</f>
        <v>1.5384615384615384E-2</v>
      </c>
      <c r="J42" s="18">
        <f>C42-(E42*1080)</f>
        <v>307.69603363547708</v>
      </c>
      <c r="K42" s="95"/>
      <c r="L42" s="96"/>
      <c r="M42" s="96"/>
      <c r="N42" s="96"/>
      <c r="O42" s="96"/>
      <c r="P42" s="96"/>
    </row>
    <row r="43" spans="1:16" ht="13.5" thickBot="1">
      <c r="A43" s="79"/>
      <c r="B43" s="13"/>
      <c r="C43" s="22"/>
      <c r="D43" s="23"/>
      <c r="E43" s="23"/>
      <c r="F43" s="27"/>
      <c r="G43" s="23"/>
      <c r="H43" s="10"/>
      <c r="I43" s="24"/>
      <c r="J43" s="25"/>
    </row>
    <row r="44" spans="1:16">
      <c r="A44" s="87">
        <v>9</v>
      </c>
      <c r="B44" s="82">
        <f>B42+7</f>
        <v>43128</v>
      </c>
      <c r="C44" s="20">
        <f>D42+G42-H42</f>
        <v>479.26847635387674</v>
      </c>
      <c r="D44" s="17">
        <f>C44+(C44*0.04)</f>
        <v>498.43921540803183</v>
      </c>
      <c r="E44" s="17">
        <f>C44/3250</f>
        <v>0.14746722349350053</v>
      </c>
      <c r="F44" s="28">
        <f>(D44-C44)/E44</f>
        <v>130.00000000000017</v>
      </c>
      <c r="G44" s="18"/>
      <c r="H44" s="18"/>
      <c r="I44" s="19">
        <f>E44*50/C44</f>
        <v>1.5384615384615384E-2</v>
      </c>
      <c r="J44" s="18">
        <f>C44-(E44*1080)</f>
        <v>320.00387498089617</v>
      </c>
    </row>
    <row r="45" spans="1:16">
      <c r="A45" s="88"/>
      <c r="B45" s="82">
        <f>B44+7</f>
        <v>43135</v>
      </c>
      <c r="C45" s="20">
        <f>D44+G44-H44</f>
        <v>498.43921540803183</v>
      </c>
      <c r="D45" s="17">
        <f>C45+(C45*0.04)</f>
        <v>518.37678402435313</v>
      </c>
      <c r="E45" s="17">
        <f>C45/3250</f>
        <v>0.15336591243324058</v>
      </c>
      <c r="F45" s="28">
        <f>(D45-C45)/E45</f>
        <v>130.00000000000017</v>
      </c>
      <c r="G45" s="18"/>
      <c r="H45" s="18"/>
      <c r="I45" s="19">
        <f>E45*50/C45</f>
        <v>1.5384615384615387E-2</v>
      </c>
      <c r="J45" s="18">
        <f>C45-(E45*1080)</f>
        <v>332.80402998013199</v>
      </c>
    </row>
    <row r="46" spans="1:16">
      <c r="A46" s="88"/>
      <c r="B46" s="82">
        <f>B45+7</f>
        <v>43142</v>
      </c>
      <c r="C46" s="20">
        <f>D45+G45-H45</f>
        <v>518.37678402435313</v>
      </c>
      <c r="D46" s="17">
        <f>C46+(C46*0.04)</f>
        <v>539.1118553853272</v>
      </c>
      <c r="E46" s="17">
        <f>C46/3250</f>
        <v>0.1595005489305702</v>
      </c>
      <c r="F46" s="28">
        <f>(D46-C46)/E46</f>
        <v>129.99999999999969</v>
      </c>
      <c r="G46" s="18"/>
      <c r="H46" s="18"/>
      <c r="I46" s="19">
        <f>E46*50/C46</f>
        <v>1.5384615384615385E-2</v>
      </c>
      <c r="J46" s="18">
        <f>C46-(E46*1080)</f>
        <v>346.11619117933731</v>
      </c>
    </row>
    <row r="47" spans="1:16" ht="13.5" thickBot="1">
      <c r="A47" s="89"/>
      <c r="B47" s="82">
        <f>B46+7</f>
        <v>43149</v>
      </c>
      <c r="C47" s="20">
        <f>D46+G46-H46</f>
        <v>539.1118553853272</v>
      </c>
      <c r="D47" s="17">
        <f>C47+(C47*0.04)</f>
        <v>560.67632960074025</v>
      </c>
      <c r="E47" s="17">
        <f>C47/3250</f>
        <v>0.16588057088779298</v>
      </c>
      <c r="F47" s="28">
        <f>(D47-C47)/E47</f>
        <v>129.99999999999972</v>
      </c>
      <c r="G47" s="81"/>
      <c r="H47" s="81">
        <f>(D47-C34)*0.35</f>
        <v>73.667841926958133</v>
      </c>
      <c r="I47" s="19">
        <f>E47*50/C47</f>
        <v>1.5384615384615384E-2</v>
      </c>
      <c r="J47" s="18">
        <f>C47-(E47*1080)</f>
        <v>359.96083882651078</v>
      </c>
      <c r="K47" s="90" t="s">
        <v>44</v>
      </c>
      <c r="L47" s="91"/>
      <c r="M47" s="91"/>
      <c r="N47" s="91"/>
      <c r="O47" s="91"/>
      <c r="P47" s="91"/>
    </row>
    <row r="48" spans="1:16" ht="13.5" thickBot="1">
      <c r="A48" s="79"/>
      <c r="B48" s="13"/>
      <c r="C48" s="22"/>
      <c r="D48" s="23"/>
      <c r="E48" s="23"/>
      <c r="F48" s="27"/>
      <c r="G48" s="23"/>
      <c r="H48" s="10"/>
      <c r="I48" s="24"/>
      <c r="J48" s="25"/>
    </row>
    <row r="49" spans="1:16">
      <c r="A49" s="87">
        <v>10</v>
      </c>
      <c r="B49" s="82">
        <f>B47+7</f>
        <v>43156</v>
      </c>
      <c r="C49" s="20">
        <f>D47+G47-H47</f>
        <v>487.0084876737821</v>
      </c>
      <c r="D49" s="17">
        <f>C49+(C49*0.04)</f>
        <v>506.48882718073338</v>
      </c>
      <c r="E49" s="17">
        <f>C49/3250</f>
        <v>0.14984876543808681</v>
      </c>
      <c r="F49" s="28">
        <f>(D49-C49)/E49</f>
        <v>129.99999999999997</v>
      </c>
      <c r="G49" s="18"/>
      <c r="H49" s="18"/>
      <c r="I49" s="19">
        <f>E49*50/C49</f>
        <v>1.5384615384615385E-2</v>
      </c>
      <c r="J49" s="18">
        <f>C49-(E49*1080)</f>
        <v>325.17182100064838</v>
      </c>
    </row>
    <row r="50" spans="1:16">
      <c r="A50" s="88"/>
      <c r="B50" s="82">
        <f>B49+7</f>
        <v>43163</v>
      </c>
      <c r="C50" s="20">
        <f>D49+G49-H49</f>
        <v>506.48882718073338</v>
      </c>
      <c r="D50" s="17">
        <f>C50+(C50*0.04)</f>
        <v>526.74838026796272</v>
      </c>
      <c r="E50" s="17">
        <f>C50/3250</f>
        <v>0.15584271605561026</v>
      </c>
      <c r="F50" s="28">
        <f>(D50-C50)/E50</f>
        <v>130</v>
      </c>
      <c r="G50" s="18"/>
      <c r="H50" s="18"/>
      <c r="I50" s="19">
        <f>E50*50/C50</f>
        <v>1.5384615384615384E-2</v>
      </c>
      <c r="J50" s="18">
        <f>C50-(E50*1080)</f>
        <v>338.17869384067433</v>
      </c>
    </row>
    <row r="51" spans="1:16">
      <c r="A51" s="88"/>
      <c r="B51" s="82">
        <f>B50+7</f>
        <v>43170</v>
      </c>
      <c r="C51" s="20">
        <f>D50+G50-H50</f>
        <v>526.74838026796272</v>
      </c>
      <c r="D51" s="17">
        <f>C51+(C51*0.04)</f>
        <v>547.81831547868126</v>
      </c>
      <c r="E51" s="17">
        <f>C51/3250</f>
        <v>0.16207642469783468</v>
      </c>
      <c r="F51" s="28">
        <f>(D51-C51)/E51</f>
        <v>130.0000000000002</v>
      </c>
      <c r="G51" s="18"/>
      <c r="H51" s="18"/>
      <c r="I51" s="19">
        <f>E51*50/C51</f>
        <v>1.5384615384615385E-2</v>
      </c>
      <c r="J51" s="18">
        <f>C51-(E51*1080)</f>
        <v>351.70584159430126</v>
      </c>
    </row>
    <row r="52" spans="1:16" ht="13.5" thickBot="1">
      <c r="A52" s="89"/>
      <c r="B52" s="82">
        <f>B51+7</f>
        <v>43177</v>
      </c>
      <c r="C52" s="20">
        <f>D51+G51-H51</f>
        <v>547.81831547868126</v>
      </c>
      <c r="D52" s="17">
        <f>C52+(C52*0.04)</f>
        <v>569.73104809782853</v>
      </c>
      <c r="E52" s="17">
        <f>C52/3250</f>
        <v>0.16855948168574808</v>
      </c>
      <c r="F52" s="28">
        <f>(D52-C52)/E52</f>
        <v>130.00000000000017</v>
      </c>
      <c r="G52" s="81"/>
      <c r="H52" s="81"/>
      <c r="I52" s="19">
        <f>E52*50/C52</f>
        <v>1.5384615384615385E-2</v>
      </c>
      <c r="J52" s="18">
        <f>C52-(E52*1080)</f>
        <v>365.77407525807337</v>
      </c>
      <c r="K52" s="95"/>
      <c r="L52" s="96"/>
      <c r="M52" s="96"/>
      <c r="N52" s="96"/>
      <c r="O52" s="96"/>
      <c r="P52" s="96"/>
    </row>
    <row r="53" spans="1:16" ht="13.5" thickBot="1">
      <c r="A53" s="79"/>
      <c r="B53" s="13"/>
      <c r="C53" s="22"/>
      <c r="D53" s="23"/>
      <c r="E53" s="23"/>
      <c r="F53" s="27"/>
      <c r="G53" s="23"/>
      <c r="H53" s="10"/>
      <c r="I53" s="24"/>
      <c r="J53" s="25"/>
    </row>
    <row r="54" spans="1:16">
      <c r="A54" s="87">
        <v>11</v>
      </c>
      <c r="B54" s="82">
        <f>B52+7</f>
        <v>43184</v>
      </c>
      <c r="C54" s="20">
        <f>D52+G52-H52</f>
        <v>569.73104809782853</v>
      </c>
      <c r="D54" s="17">
        <f>C54+(C54*0.04)</f>
        <v>592.52029002174163</v>
      </c>
      <c r="E54" s="17">
        <f>C54/3250</f>
        <v>0.17530186095317801</v>
      </c>
      <c r="F54" s="28">
        <f>(D54-C54)/E54</f>
        <v>129.99999999999974</v>
      </c>
      <c r="G54" s="18"/>
      <c r="H54" s="18"/>
      <c r="I54" s="19">
        <f>E54*50/C54</f>
        <v>1.5384615384615385E-2</v>
      </c>
      <c r="J54" s="18">
        <f>C54-(E54*1080)</f>
        <v>380.40503826839631</v>
      </c>
    </row>
    <row r="55" spans="1:16">
      <c r="A55" s="88"/>
      <c r="B55" s="82">
        <f>B54+7</f>
        <v>43191</v>
      </c>
      <c r="C55" s="20">
        <f>D54+G54-H54</f>
        <v>592.52029002174163</v>
      </c>
      <c r="D55" s="17">
        <f>C55+(C55*0.04)</f>
        <v>616.22110162261129</v>
      </c>
      <c r="E55" s="17">
        <f>C55/3250</f>
        <v>0.18231393539130511</v>
      </c>
      <c r="F55" s="28">
        <f>(D55-C55)/E55</f>
        <v>129.99999999999994</v>
      </c>
      <c r="G55" s="18"/>
      <c r="H55" s="18"/>
      <c r="I55" s="19">
        <f>E55*50/C55</f>
        <v>1.5384615384615384E-2</v>
      </c>
      <c r="J55" s="18">
        <f>C55-(E55*1080)</f>
        <v>395.62123979913213</v>
      </c>
    </row>
    <row r="56" spans="1:16">
      <c r="A56" s="88"/>
      <c r="B56" s="82">
        <f>B55+7</f>
        <v>43198</v>
      </c>
      <c r="C56" s="20">
        <f>D55+G55-H55</f>
        <v>616.22110162261129</v>
      </c>
      <c r="D56" s="17">
        <f>C56+(C56*0.04)</f>
        <v>640.86994568751572</v>
      </c>
      <c r="E56" s="17">
        <f>C56/3250</f>
        <v>0.18960649280695732</v>
      </c>
      <c r="F56" s="28">
        <f>(D56-C56)/E56</f>
        <v>129.99999999999991</v>
      </c>
      <c r="G56" s="18"/>
      <c r="H56" s="18"/>
      <c r="I56" s="19">
        <f>E56*50/C56</f>
        <v>1.5384615384615385E-2</v>
      </c>
      <c r="J56" s="18">
        <f>C56-(E56*1080)</f>
        <v>411.44608939109742</v>
      </c>
    </row>
    <row r="57" spans="1:16" ht="13.5" thickBot="1">
      <c r="A57" s="89"/>
      <c r="B57" s="82">
        <f>B56+7</f>
        <v>43205</v>
      </c>
      <c r="C57" s="20">
        <f>D56+G56-H56</f>
        <v>640.86994568751572</v>
      </c>
      <c r="D57" s="17">
        <f>C57+(C57*0.04)</f>
        <v>666.50474351501634</v>
      </c>
      <c r="E57" s="17">
        <f>C57/3250</f>
        <v>0.1971907525192356</v>
      </c>
      <c r="F57" s="28">
        <f>(D57-C57)/E57</f>
        <v>129.99999999999997</v>
      </c>
      <c r="G57" s="81"/>
      <c r="H57" s="81"/>
      <c r="I57" s="19">
        <f>E57*50/C57</f>
        <v>1.5384615384615384E-2</v>
      </c>
      <c r="J57" s="18">
        <f>C57-(E57*1080)</f>
        <v>427.90393296674131</v>
      </c>
      <c r="K57" s="95"/>
      <c r="L57" s="96"/>
      <c r="M57" s="96"/>
      <c r="N57" s="96"/>
      <c r="O57" s="96"/>
      <c r="P57" s="96"/>
    </row>
    <row r="58" spans="1:16" ht="13.5" thickBot="1">
      <c r="A58" s="79"/>
      <c r="B58" s="13"/>
      <c r="C58" s="22"/>
      <c r="D58" s="23"/>
      <c r="E58" s="23"/>
      <c r="F58" s="27"/>
      <c r="G58" s="23"/>
      <c r="H58" s="10"/>
      <c r="I58" s="24"/>
      <c r="J58" s="25"/>
    </row>
    <row r="59" spans="1:16">
      <c r="A59" s="87">
        <v>12</v>
      </c>
      <c r="B59" s="82">
        <f>B57+7</f>
        <v>43212</v>
      </c>
      <c r="C59" s="20">
        <f>D57+G57-H57</f>
        <v>666.50474351501634</v>
      </c>
      <c r="D59" s="17">
        <f>C59+(C59*0.04)</f>
        <v>693.16493325561703</v>
      </c>
      <c r="E59" s="17">
        <f>C59/3250</f>
        <v>0.20507838262000502</v>
      </c>
      <c r="F59" s="28">
        <f>(D59-C59)/E59</f>
        <v>130.00000000000017</v>
      </c>
      <c r="G59" s="18"/>
      <c r="H59" s="18"/>
      <c r="I59" s="19">
        <f>E59*50/C59</f>
        <v>1.5384615384615384E-2</v>
      </c>
      <c r="J59" s="18">
        <f>C59-(E59*1080)</f>
        <v>445.0200902854109</v>
      </c>
    </row>
    <row r="60" spans="1:16">
      <c r="A60" s="88"/>
      <c r="B60" s="82">
        <f>B59+7</f>
        <v>43219</v>
      </c>
      <c r="C60" s="20">
        <f>D59+G59-H59</f>
        <v>693.16493325561703</v>
      </c>
      <c r="D60" s="17">
        <f>C60+(C60*0.04)</f>
        <v>720.89153058584168</v>
      </c>
      <c r="E60" s="17">
        <f>C60/3250</f>
        <v>0.21328151792480524</v>
      </c>
      <c r="F60" s="28">
        <f>(D60-C60)/E60</f>
        <v>129.99999999999986</v>
      </c>
      <c r="G60" s="18"/>
      <c r="H60" s="18"/>
      <c r="I60" s="19">
        <f>E60*50/C60</f>
        <v>1.5384615384615384E-2</v>
      </c>
      <c r="J60" s="18">
        <f>C60-(E60*1080)</f>
        <v>462.82089389682739</v>
      </c>
    </row>
    <row r="61" spans="1:16">
      <c r="A61" s="88"/>
      <c r="B61" s="82">
        <f>B60+7</f>
        <v>43226</v>
      </c>
      <c r="C61" s="20">
        <f>D60+G60-H60</f>
        <v>720.89153058584168</v>
      </c>
      <c r="D61" s="17">
        <f>C61+(C61*0.04)</f>
        <v>749.72719180927538</v>
      </c>
      <c r="E61" s="17">
        <f>C61/3250</f>
        <v>0.22181277864179744</v>
      </c>
      <c r="F61" s="28">
        <f>(D61-C61)/E61</f>
        <v>130.00000000000017</v>
      </c>
      <c r="G61" s="18"/>
      <c r="H61" s="18"/>
      <c r="I61" s="19">
        <f>E61*50/C61</f>
        <v>1.5384615384615385E-2</v>
      </c>
      <c r="J61" s="18">
        <f>C61-(E61*1080)</f>
        <v>481.33372965270041</v>
      </c>
    </row>
    <row r="62" spans="1:16" ht="13.5" thickBot="1">
      <c r="A62" s="89"/>
      <c r="B62" s="82">
        <f>B61+7</f>
        <v>43233</v>
      </c>
      <c r="C62" s="20">
        <f>D61+G61-H61</f>
        <v>749.72719180927538</v>
      </c>
      <c r="D62" s="17">
        <f>C62+(C62*0.04)</f>
        <v>779.71627948164644</v>
      </c>
      <c r="E62" s="17">
        <f>C62/3250</f>
        <v>0.23068528978746936</v>
      </c>
      <c r="F62" s="28">
        <f>(D62-C62)/E62</f>
        <v>130.00000000000017</v>
      </c>
      <c r="G62" s="81"/>
      <c r="H62" s="81">
        <f>(D62-C49)*0.35</f>
        <v>102.44772713275252</v>
      </c>
      <c r="I62" s="19">
        <f>E62*50/C62</f>
        <v>1.5384615384615385E-2</v>
      </c>
      <c r="J62" s="18">
        <f>C62-(E62*1080)</f>
        <v>500.58707883880845</v>
      </c>
      <c r="K62" s="90" t="s">
        <v>44</v>
      </c>
      <c r="L62" s="91"/>
      <c r="M62" s="91"/>
      <c r="N62" s="91"/>
      <c r="O62" s="91"/>
      <c r="P62" s="91"/>
    </row>
    <row r="63" spans="1:16" ht="13.5" thickBot="1">
      <c r="A63" s="79"/>
      <c r="B63" s="13"/>
      <c r="C63" s="22"/>
      <c r="D63" s="23"/>
      <c r="E63" s="23"/>
      <c r="F63" s="27"/>
      <c r="G63" s="23"/>
      <c r="H63" s="10"/>
      <c r="I63" s="24"/>
      <c r="J63" s="25"/>
    </row>
    <row r="64" spans="1:16">
      <c r="A64" s="87">
        <v>13</v>
      </c>
      <c r="B64" s="82">
        <f>B62+7</f>
        <v>43240</v>
      </c>
      <c r="C64" s="20">
        <f>D62+G62-H62</f>
        <v>677.26855234889388</v>
      </c>
      <c r="D64" s="17">
        <f>C64+(C64*0.04)</f>
        <v>704.35929444284966</v>
      </c>
      <c r="E64" s="17">
        <f>C64/3250</f>
        <v>0.20839032379965966</v>
      </c>
      <c r="F64" s="28">
        <f>(D64-C64)/E64</f>
        <v>130.00000000000011</v>
      </c>
      <c r="G64" s="17"/>
      <c r="H64" s="80"/>
      <c r="I64" s="19">
        <f>E64*50/C64</f>
        <v>1.5384615384615385E-2</v>
      </c>
      <c r="J64" s="18">
        <f>C64-(E64*1080)</f>
        <v>452.20700264526147</v>
      </c>
    </row>
    <row r="65" spans="1:16">
      <c r="A65" s="88"/>
      <c r="B65" s="82">
        <f>B64+7</f>
        <v>43247</v>
      </c>
      <c r="C65" s="20">
        <f>D64+G64-H64</f>
        <v>704.35929444284966</v>
      </c>
      <c r="D65" s="17">
        <f>C65+(C65*0.04)</f>
        <v>732.53366622056365</v>
      </c>
      <c r="E65" s="17">
        <f>C65/3250</f>
        <v>0.21672593675164606</v>
      </c>
      <c r="F65" s="28">
        <f>(D65-C65)/E65</f>
        <v>130</v>
      </c>
      <c r="G65" s="17"/>
      <c r="H65" s="80"/>
      <c r="I65" s="19">
        <f>E65*50/C65</f>
        <v>1.5384615384615385E-2</v>
      </c>
      <c r="J65" s="18">
        <f>C65-(E65*1080)</f>
        <v>470.29528275107191</v>
      </c>
    </row>
    <row r="66" spans="1:16">
      <c r="A66" s="88"/>
      <c r="B66" s="82">
        <f>B65+7</f>
        <v>43254</v>
      </c>
      <c r="C66" s="20">
        <f>D65+G65-H65</f>
        <v>732.53366622056365</v>
      </c>
      <c r="D66" s="17">
        <f>C66+(C66*0.04)</f>
        <v>761.83501286938622</v>
      </c>
      <c r="E66" s="17">
        <f>C66/3250</f>
        <v>0.2253949742217119</v>
      </c>
      <c r="F66" s="28">
        <f>(D66-C66)/E66</f>
        <v>130.00000000000011</v>
      </c>
      <c r="G66" s="17"/>
      <c r="H66" s="80"/>
      <c r="I66" s="19">
        <f>E66*50/C66</f>
        <v>1.5384615384615385E-2</v>
      </c>
      <c r="J66" s="18">
        <f>C66-(E66*1080)</f>
        <v>489.10709406111482</v>
      </c>
    </row>
    <row r="67" spans="1:16" ht="13.5" thickBot="1">
      <c r="A67" s="89"/>
      <c r="B67" s="82">
        <f>B66+7</f>
        <v>43261</v>
      </c>
      <c r="C67" s="20">
        <f>D66+G66-H66</f>
        <v>761.83501286938622</v>
      </c>
      <c r="D67" s="17">
        <f>C67+(C67*0.04)</f>
        <v>792.30841338416167</v>
      </c>
      <c r="E67" s="17">
        <f>C67/3250</f>
        <v>0.23441077319058037</v>
      </c>
      <c r="F67" s="28">
        <f>(D67-C67)/E67</f>
        <v>130</v>
      </c>
      <c r="G67" s="81"/>
      <c r="H67" s="81"/>
      <c r="I67" s="19">
        <f>E67*50/C67</f>
        <v>1.5384615384615385E-2</v>
      </c>
      <c r="J67" s="18">
        <f>C67-(E67*1080)</f>
        <v>508.6713778235594</v>
      </c>
      <c r="K67" s="95"/>
      <c r="L67" s="96"/>
      <c r="M67" s="96"/>
      <c r="N67" s="96"/>
      <c r="O67" s="96"/>
      <c r="P67" s="96"/>
    </row>
    <row r="68" spans="1:16" ht="13.5" thickBot="1">
      <c r="A68" s="79"/>
      <c r="B68" s="13"/>
      <c r="C68" s="22"/>
      <c r="D68" s="23"/>
      <c r="E68" s="23"/>
      <c r="F68" s="27"/>
      <c r="G68" s="23"/>
      <c r="H68" s="10"/>
      <c r="I68" s="24"/>
      <c r="J68" s="25"/>
    </row>
    <row r="69" spans="1:16">
      <c r="A69" s="87">
        <v>14</v>
      </c>
      <c r="B69" s="82">
        <f>B67+7</f>
        <v>43268</v>
      </c>
      <c r="C69" s="20">
        <f>D67+G67-H67</f>
        <v>792.30841338416167</v>
      </c>
      <c r="D69" s="17">
        <f>C69+(C69*0.04)</f>
        <v>824.00074991952818</v>
      </c>
      <c r="E69" s="17">
        <f>C69/3250</f>
        <v>0.24378720411820359</v>
      </c>
      <c r="F69" s="28">
        <f>(D69-C69)/E69</f>
        <v>130.00000000000017</v>
      </c>
      <c r="G69" s="18"/>
      <c r="H69" s="18"/>
      <c r="I69" s="19">
        <f>E69*50/C69</f>
        <v>1.5384615384615385E-2</v>
      </c>
      <c r="J69" s="18">
        <f>C69-(E69*1080)</f>
        <v>529.01823293650182</v>
      </c>
    </row>
    <row r="70" spans="1:16">
      <c r="A70" s="88"/>
      <c r="B70" s="82">
        <f>B69+7</f>
        <v>43275</v>
      </c>
      <c r="C70" s="20">
        <f>D69+G69-H69</f>
        <v>824.00074991952818</v>
      </c>
      <c r="D70" s="17">
        <f>C70+(C70*0.04)</f>
        <v>856.96077991630932</v>
      </c>
      <c r="E70" s="17">
        <f>C70/3250</f>
        <v>0.25353869228293174</v>
      </c>
      <c r="F70" s="28">
        <f>(D70-C70)/E70</f>
        <v>130.00000000000009</v>
      </c>
      <c r="G70" s="18"/>
      <c r="H70" s="18"/>
      <c r="I70" s="19">
        <f>E70*50/C70</f>
        <v>1.5384615384615384E-2</v>
      </c>
      <c r="J70" s="18">
        <f>C70-(E70*1080)</f>
        <v>550.17896225396191</v>
      </c>
    </row>
    <row r="71" spans="1:16">
      <c r="A71" s="88"/>
      <c r="B71" s="82">
        <f>B70+7</f>
        <v>43282</v>
      </c>
      <c r="C71" s="20">
        <f>D70+G70-H70</f>
        <v>856.96077991630932</v>
      </c>
      <c r="D71" s="17">
        <f>C71+(C71*0.04)</f>
        <v>891.2392111129617</v>
      </c>
      <c r="E71" s="17">
        <f>C71/3250</f>
        <v>0.263680239974249</v>
      </c>
      <c r="F71" s="28">
        <f>(D71-C71)/E71</f>
        <v>130.00000000000003</v>
      </c>
      <c r="G71" s="18"/>
      <c r="H71" s="18"/>
      <c r="I71" s="19">
        <f>E71*50/C71</f>
        <v>1.5384615384615382E-2</v>
      </c>
      <c r="J71" s="18">
        <f>C71-(E71*1080)</f>
        <v>572.18612074412044</v>
      </c>
    </row>
    <row r="72" spans="1:16" ht="13.5" thickBot="1">
      <c r="A72" s="89"/>
      <c r="B72" s="82">
        <f>B71+7</f>
        <v>43289</v>
      </c>
      <c r="C72" s="20">
        <f>D71+G71-H71</f>
        <v>891.2392111129617</v>
      </c>
      <c r="D72" s="17">
        <f>C72+(C72*0.04)</f>
        <v>926.88877955748012</v>
      </c>
      <c r="E72" s="17">
        <f>C72/3250</f>
        <v>0.27422744957321898</v>
      </c>
      <c r="F72" s="28">
        <f>(D72-C72)/E72</f>
        <v>129.99999999999983</v>
      </c>
      <c r="G72" s="81"/>
      <c r="H72" s="81"/>
      <c r="I72" s="19">
        <f>E72*50/C72</f>
        <v>1.5384615384615385E-2</v>
      </c>
      <c r="J72" s="18">
        <f>C72-(E72*1080)</f>
        <v>595.07356557388516</v>
      </c>
      <c r="K72" s="95"/>
      <c r="L72" s="96"/>
      <c r="M72" s="96"/>
      <c r="N72" s="96"/>
      <c r="O72" s="96"/>
      <c r="P72" s="96"/>
    </row>
    <row r="73" spans="1:16" ht="13.5" thickBot="1">
      <c r="A73" s="79"/>
      <c r="B73" s="13"/>
      <c r="C73" s="22"/>
      <c r="D73" s="23"/>
      <c r="E73" s="23"/>
      <c r="F73" s="27"/>
      <c r="G73" s="23"/>
      <c r="H73" s="10"/>
      <c r="I73" s="24"/>
      <c r="J73" s="25"/>
    </row>
    <row r="74" spans="1:16">
      <c r="A74" s="87">
        <v>15</v>
      </c>
      <c r="B74" s="82">
        <f>B72+7</f>
        <v>43296</v>
      </c>
      <c r="C74" s="20">
        <f>D72+G72-H72</f>
        <v>926.88877955748012</v>
      </c>
      <c r="D74" s="17">
        <f>C74+(C74*0.04)</f>
        <v>963.96433073977937</v>
      </c>
      <c r="E74" s="17">
        <f>C74/3250</f>
        <v>0.28519654755614771</v>
      </c>
      <c r="F74" s="28">
        <f>(D74-C74)/E74</f>
        <v>130.00000000000017</v>
      </c>
      <c r="G74" s="18"/>
      <c r="H74" s="18"/>
      <c r="I74" s="19">
        <f>E74*50/C74</f>
        <v>1.5384615384615384E-2</v>
      </c>
      <c r="J74" s="18">
        <f>C74-(E74*1080)</f>
        <v>618.87650819684063</v>
      </c>
    </row>
    <row r="75" spans="1:16">
      <c r="A75" s="88"/>
      <c r="B75" s="82">
        <f>B74+7</f>
        <v>43303</v>
      </c>
      <c r="C75" s="20">
        <f>D74+G74-H74</f>
        <v>963.96433073977937</v>
      </c>
      <c r="D75" s="17">
        <f>C75+(C75*0.04)</f>
        <v>1002.5229039693705</v>
      </c>
      <c r="E75" s="17">
        <f>C75/3250</f>
        <v>0.29660440945839367</v>
      </c>
      <c r="F75" s="28">
        <f>(D75-C75)/E75</f>
        <v>129.99999999999994</v>
      </c>
      <c r="G75" s="18"/>
      <c r="H75" s="18"/>
      <c r="I75" s="19">
        <f>E75*50/C75</f>
        <v>1.5384615384615385E-2</v>
      </c>
      <c r="J75" s="18">
        <f>C75-(E75*1080)</f>
        <v>643.63156852471423</v>
      </c>
    </row>
    <row r="76" spans="1:16">
      <c r="A76" s="88"/>
      <c r="B76" s="82">
        <f>B75+7</f>
        <v>43310</v>
      </c>
      <c r="C76" s="20">
        <f>D75+G75-H75</f>
        <v>1002.5229039693705</v>
      </c>
      <c r="D76" s="17">
        <f>C76+(C76*0.04)</f>
        <v>1042.6238201281453</v>
      </c>
      <c r="E76" s="17">
        <f>C76/3250</f>
        <v>0.30846858583672937</v>
      </c>
      <c r="F76" s="28">
        <f>(D76-C76)/E76</f>
        <v>129.99999999999991</v>
      </c>
      <c r="G76" s="18"/>
      <c r="H76" s="18"/>
      <c r="I76" s="19">
        <f>E76*50/C76</f>
        <v>1.5384615384615384E-2</v>
      </c>
      <c r="J76" s="18">
        <f>C76-(E76*1080)</f>
        <v>669.37683126570278</v>
      </c>
    </row>
    <row r="77" spans="1:16" ht="13.5" thickBot="1">
      <c r="A77" s="89"/>
      <c r="B77" s="82">
        <f>B76+7</f>
        <v>43317</v>
      </c>
      <c r="C77" s="20">
        <f>D76+G76-H76</f>
        <v>1042.6238201281453</v>
      </c>
      <c r="D77" s="17">
        <f>C77+(C77*0.04)</f>
        <v>1084.3287729332712</v>
      </c>
      <c r="E77" s="17">
        <f>C77/3250</f>
        <v>0.32080732927019856</v>
      </c>
      <c r="F77" s="28">
        <f>(D77-C77)/E77</f>
        <v>130.00000000000031</v>
      </c>
      <c r="G77" s="81"/>
      <c r="H77" s="81">
        <f>(D77-C64)*0.35</f>
        <v>142.47107720453207</v>
      </c>
      <c r="I77" s="19">
        <f>E77*50/C77</f>
        <v>1.5384615384615385E-2</v>
      </c>
      <c r="J77" s="18">
        <f>C77-(E77*1080)</f>
        <v>696.15190451633089</v>
      </c>
      <c r="K77" s="90" t="s">
        <v>44</v>
      </c>
      <c r="L77" s="91"/>
      <c r="M77" s="91"/>
      <c r="N77" s="91"/>
      <c r="O77" s="91"/>
      <c r="P77" s="91"/>
    </row>
    <row r="78" spans="1:16" ht="13.5" thickBot="1">
      <c r="A78" s="79"/>
      <c r="B78" s="13"/>
      <c r="C78" s="22"/>
      <c r="D78" s="23"/>
      <c r="E78" s="23"/>
      <c r="F78" s="27"/>
      <c r="G78" s="23"/>
      <c r="H78" s="10"/>
      <c r="I78" s="24"/>
      <c r="J78" s="25"/>
    </row>
    <row r="79" spans="1:16">
      <c r="A79" s="87">
        <v>16</v>
      </c>
      <c r="B79" s="82">
        <f>B77+7</f>
        <v>43324</v>
      </c>
      <c r="C79" s="20">
        <f>D77+G77-H77</f>
        <v>941.85769572873915</v>
      </c>
      <c r="D79" s="17">
        <f>C79+(C79*0.04)</f>
        <v>979.53200355788874</v>
      </c>
      <c r="E79" s="17">
        <f>C79/3250</f>
        <v>0.28980236791653513</v>
      </c>
      <c r="F79" s="28">
        <f>(D79-C79)/E79</f>
        <v>130.00000000000011</v>
      </c>
      <c r="G79" s="18"/>
      <c r="H79" s="18"/>
      <c r="I79" s="19">
        <f>E79*50/C79</f>
        <v>1.5384615384615385E-2</v>
      </c>
      <c r="J79" s="18">
        <f>C79-(E79*1080)</f>
        <v>628.87113837888114</v>
      </c>
    </row>
    <row r="80" spans="1:16">
      <c r="A80" s="88"/>
      <c r="B80" s="82">
        <f>B79+7</f>
        <v>43331</v>
      </c>
      <c r="C80" s="20">
        <f>D79+G79-H79</f>
        <v>979.53200355788874</v>
      </c>
      <c r="D80" s="17">
        <f>C80+(C80*0.04)</f>
        <v>1018.7132837002043</v>
      </c>
      <c r="E80" s="17">
        <f>C80/3250</f>
        <v>0.30139446263319652</v>
      </c>
      <c r="F80" s="28">
        <f>(D80-C80)/E80</f>
        <v>130.00000000000011</v>
      </c>
      <c r="G80" s="18"/>
      <c r="H80" s="18"/>
      <c r="I80" s="19">
        <f>E80*50/C80</f>
        <v>1.5384615384615384E-2</v>
      </c>
      <c r="J80" s="18">
        <f>C80-(E80*1080)</f>
        <v>654.02598391403649</v>
      </c>
    </row>
    <row r="81" spans="1:16">
      <c r="A81" s="88"/>
      <c r="B81" s="82">
        <f>B80+7</f>
        <v>43338</v>
      </c>
      <c r="C81" s="20">
        <f>D80+G80-H80</f>
        <v>1018.7132837002043</v>
      </c>
      <c r="D81" s="17">
        <f>C81+(C81*0.04)</f>
        <v>1059.4618150482124</v>
      </c>
      <c r="E81" s="17">
        <f>C81/3250</f>
        <v>0.31345024113852443</v>
      </c>
      <c r="F81" s="28">
        <f>(D81-C81)/E81</f>
        <v>129.99999999999974</v>
      </c>
      <c r="G81" s="18"/>
      <c r="H81" s="18"/>
      <c r="I81" s="19">
        <f>E81*50/C81</f>
        <v>1.5384615384615385E-2</v>
      </c>
      <c r="J81" s="18">
        <f>C81-(E81*1080)</f>
        <v>680.18702327059793</v>
      </c>
    </row>
    <row r="82" spans="1:16" ht="13.5" thickBot="1">
      <c r="A82" s="89"/>
      <c r="B82" s="82">
        <f>B81+7</f>
        <v>43345</v>
      </c>
      <c r="C82" s="20">
        <f>D81+G81-H81</f>
        <v>1059.4618150482124</v>
      </c>
      <c r="D82" s="17">
        <f>C82+(C82*0.04)</f>
        <v>1101.8402876501409</v>
      </c>
      <c r="E82" s="17">
        <f>C82/3250</f>
        <v>0.32598825078406535</v>
      </c>
      <c r="F82" s="28">
        <f>(D82-C82)/E82</f>
        <v>129.99999999999994</v>
      </c>
      <c r="G82" s="81"/>
      <c r="H82" s="81"/>
      <c r="I82" s="19">
        <f>E82*50/C82</f>
        <v>1.5384615384615384E-2</v>
      </c>
      <c r="J82" s="18">
        <f>C82-(E82*1080)</f>
        <v>707.3945042014218</v>
      </c>
      <c r="K82" s="95"/>
      <c r="L82" s="96"/>
      <c r="M82" s="96"/>
      <c r="N82" s="96"/>
      <c r="O82" s="96"/>
      <c r="P82" s="96"/>
    </row>
    <row r="83" spans="1:16" ht="13.5" thickBot="1">
      <c r="A83" s="79"/>
      <c r="B83" s="13"/>
      <c r="C83" s="22"/>
      <c r="D83" s="23"/>
      <c r="E83" s="23"/>
      <c r="F83" s="27"/>
      <c r="G83" s="23"/>
      <c r="H83" s="10"/>
      <c r="I83" s="24"/>
      <c r="J83" s="25"/>
    </row>
    <row r="84" spans="1:16">
      <c r="A84" s="87">
        <v>17</v>
      </c>
      <c r="B84" s="82">
        <f>B82+7</f>
        <v>43352</v>
      </c>
      <c r="C84" s="20">
        <f>D82+G82-H82</f>
        <v>1101.8402876501409</v>
      </c>
      <c r="D84" s="17">
        <f>C84+(C84*0.04)</f>
        <v>1145.9138991561465</v>
      </c>
      <c r="E84" s="17">
        <f>C84/3250</f>
        <v>0.33902778081542795</v>
      </c>
      <c r="F84" s="28">
        <f>(D84-C84)/E84</f>
        <v>129.99999999999989</v>
      </c>
      <c r="G84" s="18"/>
      <c r="H84" s="18"/>
      <c r="I84" s="19">
        <f>E84*50/C84</f>
        <v>1.5384615384615382E-2</v>
      </c>
      <c r="J84" s="18">
        <f>C84-(E84*1080)</f>
        <v>735.69028436947872</v>
      </c>
    </row>
    <row r="85" spans="1:16">
      <c r="A85" s="88"/>
      <c r="B85" s="82">
        <f>B84+7</f>
        <v>43359</v>
      </c>
      <c r="C85" s="20">
        <f>D84+G84-H84</f>
        <v>1145.9138991561465</v>
      </c>
      <c r="D85" s="17">
        <f>C85+(C85*0.04)</f>
        <v>1191.7504551223924</v>
      </c>
      <c r="E85" s="17">
        <f>C85/3250</f>
        <v>0.35258889204804506</v>
      </c>
      <c r="F85" s="28">
        <f>(D85-C85)/E85</f>
        <v>130.00000000000011</v>
      </c>
      <c r="G85" s="18"/>
      <c r="H85" s="18"/>
      <c r="I85" s="19">
        <f>E85*50/C85</f>
        <v>1.5384615384615384E-2</v>
      </c>
      <c r="J85" s="18">
        <f>C85-(E85*1080)</f>
        <v>765.11789574425779</v>
      </c>
      <c r="K85" s="31"/>
      <c r="L85" s="31"/>
    </row>
    <row r="86" spans="1:16">
      <c r="A86" s="88"/>
      <c r="B86" s="82">
        <f>B85+7</f>
        <v>43366</v>
      </c>
      <c r="C86" s="20">
        <f>D85+G85-H85</f>
        <v>1191.7504551223924</v>
      </c>
      <c r="D86" s="17">
        <f>C86+(C86*0.04)</f>
        <v>1239.4204733272882</v>
      </c>
      <c r="E86" s="17">
        <f>C86/3250</f>
        <v>0.3666924477299669</v>
      </c>
      <c r="F86" s="28">
        <f>(D86-C86)/E86</f>
        <v>130.0000000000002</v>
      </c>
      <c r="G86" s="18"/>
      <c r="H86" s="18"/>
      <c r="I86" s="19">
        <f>E86*50/C86</f>
        <v>1.5384615384615385E-2</v>
      </c>
      <c r="J86" s="18">
        <f>C86-(E86*1080)</f>
        <v>795.72261157402818</v>
      </c>
      <c r="K86" s="31"/>
      <c r="L86" s="31"/>
    </row>
    <row r="87" spans="1:16" ht="13.5" thickBot="1">
      <c r="A87" s="89"/>
      <c r="B87" s="82">
        <f>B86+7</f>
        <v>43373</v>
      </c>
      <c r="C87" s="20">
        <f>D86+G86-H86</f>
        <v>1239.4204733272882</v>
      </c>
      <c r="D87" s="17">
        <f>C87+(C87*0.04)</f>
        <v>1288.9972922603797</v>
      </c>
      <c r="E87" s="17">
        <f>C87/3250</f>
        <v>0.38136014563916559</v>
      </c>
      <c r="F87" s="28">
        <f>(D87-C87)/E87</f>
        <v>130.00000000000006</v>
      </c>
      <c r="G87" s="81"/>
      <c r="H87" s="81"/>
      <c r="I87" s="19">
        <f>E87*50/C87</f>
        <v>1.5384615384615385E-2</v>
      </c>
      <c r="J87" s="18">
        <f>C87-(E87*1080)</f>
        <v>827.55151603698937</v>
      </c>
      <c r="K87" s="95"/>
      <c r="L87" s="96"/>
      <c r="M87" s="96"/>
      <c r="N87" s="96"/>
      <c r="O87" s="96"/>
      <c r="P87" s="96"/>
    </row>
    <row r="88" spans="1:16" ht="13.5" thickBot="1">
      <c r="A88" s="79"/>
      <c r="B88" s="13"/>
      <c r="C88" s="22"/>
      <c r="D88" s="23"/>
      <c r="E88" s="23"/>
      <c r="F88" s="27"/>
      <c r="G88" s="23"/>
      <c r="H88" s="10"/>
      <c r="I88" s="24"/>
      <c r="J88" s="25"/>
    </row>
    <row r="89" spans="1:16">
      <c r="A89" s="87">
        <v>18</v>
      </c>
      <c r="B89" s="82">
        <f>B87+7</f>
        <v>43380</v>
      </c>
      <c r="C89" s="20">
        <f>D87+G87-H87</f>
        <v>1288.9972922603797</v>
      </c>
      <c r="D89" s="17">
        <f>C89+(C89*0.04)</f>
        <v>1340.557183950795</v>
      </c>
      <c r="E89" s="17">
        <f>C89/3250</f>
        <v>0.39661455146473223</v>
      </c>
      <c r="F89" s="28">
        <f>(D89-C89)/E89</f>
        <v>130.0000000000002</v>
      </c>
      <c r="G89" s="18"/>
      <c r="H89" s="18"/>
      <c r="I89" s="19">
        <f>E89*50/C89</f>
        <v>1.5384615384615385E-2</v>
      </c>
      <c r="J89" s="18">
        <f>C89-(E89*1080)</f>
        <v>860.65357667846888</v>
      </c>
    </row>
    <row r="90" spans="1:16">
      <c r="A90" s="88"/>
      <c r="B90" s="82">
        <f>B89+7</f>
        <v>43387</v>
      </c>
      <c r="C90" s="20">
        <f>D89+G89-H89</f>
        <v>1340.557183950795</v>
      </c>
      <c r="D90" s="17">
        <f>C90+(C90*0.04)</f>
        <v>1394.1794713088268</v>
      </c>
      <c r="E90" s="17">
        <f>C90/3250</f>
        <v>0.41247913352332155</v>
      </c>
      <c r="F90" s="28">
        <f>(D90-C90)/E90</f>
        <v>130.00000000000006</v>
      </c>
      <c r="G90" s="18"/>
      <c r="H90" s="18"/>
      <c r="I90" s="19">
        <f>E90*50/C90</f>
        <v>1.5384615384615385E-2</v>
      </c>
      <c r="J90" s="18">
        <f>C90-(E90*1080)</f>
        <v>895.07971974560769</v>
      </c>
    </row>
    <row r="91" spans="1:16">
      <c r="A91" s="88"/>
      <c r="B91" s="82">
        <f>B90+7</f>
        <v>43394</v>
      </c>
      <c r="C91" s="20">
        <f>D90+G90-H90</f>
        <v>1394.1794713088268</v>
      </c>
      <c r="D91" s="17">
        <f>C91+(C91*0.04)</f>
        <v>1449.9466501611798</v>
      </c>
      <c r="E91" s="17">
        <f>C91/3250</f>
        <v>0.42897829886425443</v>
      </c>
      <c r="F91" s="28">
        <f>(D91-C91)/E91</f>
        <v>129.99999999999989</v>
      </c>
      <c r="G91" s="18"/>
      <c r="H91" s="18"/>
      <c r="I91" s="19">
        <f>E91*50/C91</f>
        <v>1.5384615384615385E-2</v>
      </c>
      <c r="J91" s="18">
        <f>C91-(E91*1080)</f>
        <v>930.88290853543208</v>
      </c>
    </row>
    <row r="92" spans="1:16" ht="13.5" thickBot="1">
      <c r="A92" s="89"/>
      <c r="B92" s="82">
        <f>B91+7</f>
        <v>43401</v>
      </c>
      <c r="C92" s="20">
        <f>D91+G91-H91</f>
        <v>1449.9466501611798</v>
      </c>
      <c r="D92" s="17">
        <f>C92+(C92*0.04)</f>
        <v>1507.9445161676269</v>
      </c>
      <c r="E92" s="17">
        <f>C92/3250</f>
        <v>0.44613743081882457</v>
      </c>
      <c r="F92" s="28">
        <f>(D92-C92)/E92</f>
        <v>129.99999999999983</v>
      </c>
      <c r="G92" s="81"/>
      <c r="H92" s="81">
        <f>(D92-C79)*0.35</f>
        <v>198.13038715361071</v>
      </c>
      <c r="I92" s="19">
        <f>E92*50/C92</f>
        <v>1.5384615384615384E-2</v>
      </c>
      <c r="J92" s="18">
        <f>C92-(E92*1080)</f>
        <v>968.11822487684935</v>
      </c>
      <c r="K92" s="90" t="s">
        <v>44</v>
      </c>
      <c r="L92" s="91"/>
      <c r="M92" s="91"/>
      <c r="N92" s="91"/>
      <c r="O92" s="91"/>
      <c r="P92" s="91"/>
    </row>
    <row r="93" spans="1:16" ht="13.5" thickBot="1">
      <c r="A93" s="79"/>
      <c r="B93" s="13"/>
      <c r="C93" s="22"/>
      <c r="D93" s="23"/>
      <c r="E93" s="23"/>
      <c r="F93" s="27"/>
      <c r="G93" s="23"/>
      <c r="H93" s="10"/>
      <c r="I93" s="24"/>
      <c r="J93" s="25"/>
    </row>
    <row r="94" spans="1:16">
      <c r="A94" s="87">
        <v>19</v>
      </c>
      <c r="B94" s="82">
        <f>B92+7</f>
        <v>43408</v>
      </c>
      <c r="C94" s="20">
        <f>D92+G92-H92</f>
        <v>1309.8141290140163</v>
      </c>
      <c r="D94" s="17">
        <f>C94+(C94*0.04)</f>
        <v>1362.206694174577</v>
      </c>
      <c r="E94" s="17">
        <f>C94/3250</f>
        <v>0.40301973200431274</v>
      </c>
      <c r="F94" s="28">
        <f>(D94-C94)/E94</f>
        <v>130.00000000000011</v>
      </c>
      <c r="G94" s="17"/>
      <c r="H94" s="18"/>
      <c r="I94" s="19">
        <f>E94*50/C94</f>
        <v>1.5384615384615387E-2</v>
      </c>
      <c r="J94" s="18">
        <f>C94-(E94*1080)</f>
        <v>874.55281844935848</v>
      </c>
    </row>
    <row r="95" spans="1:16">
      <c r="A95" s="88"/>
      <c r="B95" s="82">
        <f>B94+7</f>
        <v>43415</v>
      </c>
      <c r="C95" s="20">
        <f>D94+G94-H94</f>
        <v>1362.206694174577</v>
      </c>
      <c r="D95" s="17">
        <f>C95+(C95*0.04)</f>
        <v>1416.69496194156</v>
      </c>
      <c r="E95" s="17">
        <f>C95/3250</f>
        <v>0.41914052128448526</v>
      </c>
      <c r="F95" s="28">
        <f>(D95-C95)/E95</f>
        <v>129.99999999999974</v>
      </c>
      <c r="G95" s="17"/>
      <c r="H95" s="18"/>
      <c r="I95" s="19">
        <f>E95*50/C95</f>
        <v>1.5384615384615385E-2</v>
      </c>
      <c r="J95" s="18">
        <f>C95-(E95*1080)</f>
        <v>909.53493118733297</v>
      </c>
    </row>
    <row r="96" spans="1:16">
      <c r="A96" s="88"/>
      <c r="B96" s="82">
        <f>B95+7</f>
        <v>43422</v>
      </c>
      <c r="C96" s="20">
        <f>D95+G95-H95</f>
        <v>1416.69496194156</v>
      </c>
      <c r="D96" s="17">
        <f>C96+(C96*0.04)</f>
        <v>1473.3627604192225</v>
      </c>
      <c r="E96" s="17">
        <f>C96/3250</f>
        <v>0.43590614213586459</v>
      </c>
      <c r="F96" s="28">
        <f>(D96-C96)/E96</f>
        <v>130.00000000000017</v>
      </c>
      <c r="G96" s="17"/>
      <c r="H96" s="18"/>
      <c r="I96" s="19">
        <f>E96*50/C96</f>
        <v>1.5384615384615385E-2</v>
      </c>
      <c r="J96" s="18">
        <f>C96-(E96*1080)</f>
        <v>945.91632843482626</v>
      </c>
    </row>
    <row r="97" spans="1:16" ht="13.5" thickBot="1">
      <c r="A97" s="89"/>
      <c r="B97" s="82">
        <f>B96+7</f>
        <v>43429</v>
      </c>
      <c r="C97" s="20">
        <f>D96+G96-H96</f>
        <v>1473.3627604192225</v>
      </c>
      <c r="D97" s="17">
        <f>C97+(C97*0.04)</f>
        <v>1532.2972708359914</v>
      </c>
      <c r="E97" s="17">
        <f>C97/3250</f>
        <v>0.45334238782129921</v>
      </c>
      <c r="F97" s="28">
        <f>(D97-C97)/E97</f>
        <v>130.00000000000011</v>
      </c>
      <c r="G97" s="81"/>
      <c r="H97" s="81"/>
      <c r="I97" s="19">
        <f>E97*50/C97</f>
        <v>1.5384615384615385E-2</v>
      </c>
      <c r="J97" s="18">
        <f>C97-(E97*1080)</f>
        <v>983.75298157221937</v>
      </c>
      <c r="K97" s="95"/>
      <c r="L97" s="96"/>
      <c r="M97" s="96"/>
      <c r="N97" s="96"/>
      <c r="O97" s="96"/>
      <c r="P97" s="96"/>
    </row>
    <row r="98" spans="1:16" ht="13.5" thickBot="1">
      <c r="A98" s="79"/>
      <c r="B98" s="13"/>
      <c r="C98" s="22"/>
      <c r="D98" s="23"/>
      <c r="E98" s="23"/>
      <c r="F98" s="27"/>
      <c r="G98" s="23"/>
      <c r="H98" s="10"/>
      <c r="I98" s="24"/>
      <c r="J98" s="25"/>
    </row>
    <row r="99" spans="1:16">
      <c r="A99" s="87">
        <v>20</v>
      </c>
      <c r="B99" s="82">
        <f>B97+7</f>
        <v>43436</v>
      </c>
      <c r="C99" s="20">
        <f>D97+G97-H97</f>
        <v>1532.2972708359914</v>
      </c>
      <c r="D99" s="17">
        <f>C99+(C99*0.04)</f>
        <v>1593.5891616694312</v>
      </c>
      <c r="E99" s="17">
        <f>C99/3250</f>
        <v>0.4714760833341512</v>
      </c>
      <c r="F99" s="28">
        <f>(D99-C99)/E99</f>
        <v>130.00000000000023</v>
      </c>
      <c r="G99" s="18"/>
      <c r="H99" s="18"/>
      <c r="I99" s="19">
        <f>E99*50/C99</f>
        <v>1.5384615384615385E-2</v>
      </c>
      <c r="J99" s="18">
        <f>C99-(E99*1080)</f>
        <v>1023.1031008351081</v>
      </c>
    </row>
    <row r="100" spans="1:16">
      <c r="A100" s="88"/>
      <c r="B100" s="82">
        <f>B99+7</f>
        <v>43443</v>
      </c>
      <c r="C100" s="20">
        <f>D99+G99-H99</f>
        <v>1593.5891616694312</v>
      </c>
      <c r="D100" s="17">
        <f>C100+(C100*0.04)</f>
        <v>1657.3327281362085</v>
      </c>
      <c r="E100" s="17">
        <f>C100/3250</f>
        <v>0.49033512666751727</v>
      </c>
      <c r="F100" s="28">
        <f>(D100-C100)/E100</f>
        <v>130.0000000000002</v>
      </c>
      <c r="G100" s="18"/>
      <c r="H100" s="18"/>
      <c r="I100" s="19">
        <f>E100*50/C100</f>
        <v>1.5384615384615384E-2</v>
      </c>
      <c r="J100" s="18">
        <f>C100-(E100*1080)</f>
        <v>1064.0272248685126</v>
      </c>
    </row>
    <row r="101" spans="1:16">
      <c r="A101" s="88"/>
      <c r="B101" s="82">
        <f>B100+7</f>
        <v>43450</v>
      </c>
      <c r="C101" s="20">
        <f>D100+G100-H100</f>
        <v>1657.3327281362085</v>
      </c>
      <c r="D101" s="17">
        <f>C101+(C101*0.04)</f>
        <v>1723.6260372616568</v>
      </c>
      <c r="E101" s="17">
        <f>C101/3250</f>
        <v>0.50994853173421806</v>
      </c>
      <c r="F101" s="28">
        <f>(D101-C101)/E101</f>
        <v>129.99999999999997</v>
      </c>
      <c r="G101" s="18"/>
      <c r="H101" s="18"/>
      <c r="I101" s="19">
        <f>E101*50/C101</f>
        <v>1.5384615384615385E-2</v>
      </c>
      <c r="J101" s="18">
        <f>C101-(E101*1080)</f>
        <v>1106.588313863253</v>
      </c>
    </row>
    <row r="102" spans="1:16" ht="13.5" thickBot="1">
      <c r="A102" s="89"/>
      <c r="B102" s="82">
        <f>B101+7</f>
        <v>43457</v>
      </c>
      <c r="C102" s="20">
        <f>D101+G101-H101</f>
        <v>1723.6260372616568</v>
      </c>
      <c r="D102" s="17">
        <f>C102+(C102*0.04)</f>
        <v>1792.5710787521232</v>
      </c>
      <c r="E102" s="17">
        <f>C102/3250</f>
        <v>0.53034647300358673</v>
      </c>
      <c r="F102" s="28">
        <f>(D102-C102)/E102</f>
        <v>130.00000000000011</v>
      </c>
      <c r="G102" s="81"/>
      <c r="H102" s="81"/>
      <c r="I102" s="19">
        <f>E102*50/C102</f>
        <v>1.5384615384615384E-2</v>
      </c>
      <c r="J102" s="18">
        <f>C102-(E102*1080)</f>
        <v>1150.8518464177832</v>
      </c>
      <c r="K102" s="95"/>
      <c r="L102" s="96"/>
      <c r="M102" s="96"/>
      <c r="N102" s="96"/>
      <c r="O102" s="96"/>
      <c r="P102" s="96"/>
    </row>
    <row r="103" spans="1:16" ht="13.5" thickBot="1">
      <c r="A103" s="79"/>
      <c r="B103" s="13"/>
      <c r="C103" s="22"/>
      <c r="D103" s="23"/>
      <c r="E103" s="23"/>
      <c r="F103" s="27"/>
      <c r="G103" s="23"/>
      <c r="H103" s="10"/>
      <c r="I103" s="24"/>
      <c r="J103" s="25"/>
    </row>
    <row r="104" spans="1:16">
      <c r="A104" s="87">
        <v>21</v>
      </c>
      <c r="B104" s="82">
        <f>B102+7</f>
        <v>43464</v>
      </c>
      <c r="C104" s="20">
        <f>D102+G102-H102</f>
        <v>1792.5710787521232</v>
      </c>
      <c r="D104" s="17">
        <f>C104+(C104*0.04)</f>
        <v>1864.273921902208</v>
      </c>
      <c r="E104" s="17">
        <f>C104/3250</f>
        <v>0.55156033192373022</v>
      </c>
      <c r="F104" s="28">
        <f>(D104-C104)/E104</f>
        <v>129.99999999999986</v>
      </c>
      <c r="G104" s="18"/>
      <c r="H104" s="18"/>
      <c r="I104" s="19">
        <f>E104*50/C104</f>
        <v>1.5384615384615385E-2</v>
      </c>
      <c r="J104" s="18">
        <f>C104-(E104*1080)</f>
        <v>1196.8859202744945</v>
      </c>
    </row>
    <row r="105" spans="1:16">
      <c r="A105" s="88"/>
      <c r="B105" s="82">
        <f>B104+7</f>
        <v>43471</v>
      </c>
      <c r="C105" s="20">
        <f>D104+G104-H104</f>
        <v>1864.273921902208</v>
      </c>
      <c r="D105" s="17">
        <f>C105+(C105*0.04)</f>
        <v>1938.8448787782963</v>
      </c>
      <c r="E105" s="17">
        <f>C105/3250</f>
        <v>0.57362274520067935</v>
      </c>
      <c r="F105" s="28">
        <f>(D105-C105)/E105</f>
        <v>129.99999999999997</v>
      </c>
      <c r="G105" s="18"/>
      <c r="H105" s="18"/>
      <c r="I105" s="19">
        <f>E105*50/C105</f>
        <v>1.5384615384615384E-2</v>
      </c>
      <c r="J105" s="18">
        <f>C105-(E105*1080)</f>
        <v>1244.7613570854742</v>
      </c>
    </row>
    <row r="106" spans="1:16">
      <c r="A106" s="88"/>
      <c r="B106" s="82">
        <f>B105+7</f>
        <v>43478</v>
      </c>
      <c r="C106" s="20">
        <f>D105+G105-H105</f>
        <v>1938.8448787782963</v>
      </c>
      <c r="D106" s="17">
        <f>C106+(C106*0.04)</f>
        <v>2016.3986739294282</v>
      </c>
      <c r="E106" s="17">
        <f>C106/3250</f>
        <v>0.59656765500870657</v>
      </c>
      <c r="F106" s="28">
        <f>(D106-C106)/E106</f>
        <v>130.00000000000009</v>
      </c>
      <c r="G106" s="18"/>
      <c r="H106" s="18"/>
      <c r="I106" s="19">
        <f>E106*50/C106</f>
        <v>1.5384615384615384E-2</v>
      </c>
      <c r="J106" s="18">
        <f>C106-(E106*1080)</f>
        <v>1294.5518113688931</v>
      </c>
    </row>
    <row r="107" spans="1:16" ht="13.5" thickBot="1">
      <c r="A107" s="89"/>
      <c r="B107" s="82">
        <f>B106+7</f>
        <v>43485</v>
      </c>
      <c r="C107" s="20">
        <f>D106+G106-H106</f>
        <v>2016.3986739294282</v>
      </c>
      <c r="D107" s="17">
        <f>C107+(C107*0.04)</f>
        <v>2097.0546208866053</v>
      </c>
      <c r="E107" s="17">
        <f>C107/3250</f>
        <v>0.62043036120905481</v>
      </c>
      <c r="F107" s="28">
        <f>(D107-C107)/E107</f>
        <v>129.99999999999994</v>
      </c>
      <c r="G107" s="81"/>
      <c r="H107" s="81">
        <f>(D107-C94)*0.35</f>
        <v>275.53417215540611</v>
      </c>
      <c r="I107" s="19">
        <f>E107*50/C107</f>
        <v>1.5384615384615384E-2</v>
      </c>
      <c r="J107" s="18">
        <f>C107-(E107*1080)</f>
        <v>1346.3338838236491</v>
      </c>
      <c r="K107" s="90" t="s">
        <v>44</v>
      </c>
      <c r="L107" s="91"/>
      <c r="M107" s="91"/>
      <c r="N107" s="91"/>
      <c r="O107" s="91"/>
      <c r="P107" s="91"/>
    </row>
    <row r="108" spans="1:16" ht="13.5" thickBot="1">
      <c r="A108" s="79"/>
      <c r="B108" s="13"/>
      <c r="C108" s="22"/>
      <c r="D108" s="23"/>
      <c r="E108" s="23"/>
      <c r="F108" s="27"/>
      <c r="G108" s="23"/>
      <c r="H108" s="10"/>
      <c r="I108" s="24"/>
      <c r="J108" s="25"/>
    </row>
    <row r="109" spans="1:16">
      <c r="A109" s="87">
        <v>22</v>
      </c>
      <c r="B109" s="82">
        <f>B107+7</f>
        <v>43492</v>
      </c>
      <c r="C109" s="20">
        <f>D107+G107-H107</f>
        <v>1821.5204487311992</v>
      </c>
      <c r="D109" s="17">
        <f>C109+(C109*0.04)</f>
        <v>1894.3812666804472</v>
      </c>
      <c r="E109" s="17">
        <f>C109/3250</f>
        <v>0.56046783037883052</v>
      </c>
      <c r="F109" s="28">
        <f>(D109-C109)/E109</f>
        <v>130.00000000000011</v>
      </c>
      <c r="G109" s="18"/>
      <c r="H109" s="18"/>
      <c r="I109" s="19">
        <f>E109*50/C109</f>
        <v>1.5384615384615385E-2</v>
      </c>
      <c r="J109" s="18">
        <f>C109-(E109*1080)</f>
        <v>1216.2151919220623</v>
      </c>
    </row>
    <row r="110" spans="1:16">
      <c r="A110" s="88"/>
      <c r="B110" s="82">
        <f>B109+7</f>
        <v>43499</v>
      </c>
      <c r="C110" s="20">
        <f>D109+G109-H109</f>
        <v>1894.3812666804472</v>
      </c>
      <c r="D110" s="17">
        <f>C110+(C110*0.04)</f>
        <v>1970.1565173476652</v>
      </c>
      <c r="E110" s="17">
        <f>C110/3250</f>
        <v>0.58288654359398373</v>
      </c>
      <c r="F110" s="28">
        <f>(D110-C110)/E110</f>
        <v>130.00000000000014</v>
      </c>
      <c r="G110" s="18"/>
      <c r="H110" s="18"/>
      <c r="I110" s="19">
        <f>E110*50/C110</f>
        <v>1.5384615384615384E-2</v>
      </c>
      <c r="J110" s="18">
        <f>C110-(E110*1080)</f>
        <v>1264.8637995989448</v>
      </c>
    </row>
    <row r="111" spans="1:16">
      <c r="A111" s="88"/>
      <c r="B111" s="82">
        <f>B110+7</f>
        <v>43506</v>
      </c>
      <c r="C111" s="20">
        <f>D110+G110-H110</f>
        <v>1970.1565173476652</v>
      </c>
      <c r="D111" s="17">
        <f>C111+(C111*0.04)</f>
        <v>2048.9627780415717</v>
      </c>
      <c r="E111" s="17">
        <f>C111/3250</f>
        <v>0.60620200533774315</v>
      </c>
      <c r="F111" s="28">
        <f>(D111-C111)/E111</f>
        <v>129.99999999999991</v>
      </c>
      <c r="G111" s="18"/>
      <c r="H111" s="18"/>
      <c r="I111" s="19">
        <f>E111*50/C111</f>
        <v>1.5384615384615385E-2</v>
      </c>
      <c r="J111" s="18">
        <f>C111-(E111*1080)</f>
        <v>1315.4583515829027</v>
      </c>
    </row>
    <row r="112" spans="1:16" ht="13.5" thickBot="1">
      <c r="A112" s="89"/>
      <c r="B112" s="82">
        <f>B111+7</f>
        <v>43513</v>
      </c>
      <c r="C112" s="20">
        <f>D111+G111-H111</f>
        <v>2048.9627780415717</v>
      </c>
      <c r="D112" s="17">
        <f>C112+(C112*0.04)</f>
        <v>2130.9212891632346</v>
      </c>
      <c r="E112" s="17">
        <f>C112/3250</f>
        <v>0.63045008555125281</v>
      </c>
      <c r="F112" s="28">
        <f>(D112-C112)/E112</f>
        <v>130.00000000000009</v>
      </c>
      <c r="G112" s="81"/>
      <c r="H112" s="81"/>
      <c r="I112" s="19">
        <f>E112*50/C112</f>
        <v>1.5384615384615384E-2</v>
      </c>
      <c r="J112" s="18">
        <f>C112-(E112*1080)</f>
        <v>1368.0766856462187</v>
      </c>
      <c r="K112" s="95"/>
      <c r="L112" s="96"/>
      <c r="M112" s="96"/>
      <c r="N112" s="96"/>
      <c r="O112" s="96"/>
      <c r="P112" s="96"/>
    </row>
    <row r="113" spans="1:16" ht="13.5" thickBot="1">
      <c r="A113" s="79"/>
      <c r="B113" s="13"/>
      <c r="C113" s="22"/>
      <c r="D113" s="23"/>
      <c r="E113" s="23"/>
      <c r="F113" s="27"/>
      <c r="G113" s="23"/>
      <c r="H113" s="10"/>
      <c r="I113" s="24"/>
      <c r="J113" s="25"/>
    </row>
    <row r="114" spans="1:16">
      <c r="A114" s="87">
        <v>23</v>
      </c>
      <c r="B114" s="82">
        <f>B112+7</f>
        <v>43520</v>
      </c>
      <c r="C114" s="20">
        <f>D112+G112-H112</f>
        <v>2130.9212891632346</v>
      </c>
      <c r="D114" s="17">
        <f>C114+(C114*0.04)</f>
        <v>2216.158140729764</v>
      </c>
      <c r="E114" s="17">
        <f>C114/3250</f>
        <v>0.65566808897330298</v>
      </c>
      <c r="F114" s="28">
        <f>(D114-C114)/E114</f>
        <v>129.99999999999997</v>
      </c>
      <c r="G114" s="18"/>
      <c r="H114" s="18"/>
      <c r="I114" s="19">
        <f>E114*50/C114</f>
        <v>1.5384615384615387E-2</v>
      </c>
      <c r="J114" s="18">
        <f>C114-(E114*1080)</f>
        <v>1422.7997530720675</v>
      </c>
    </row>
    <row r="115" spans="1:16">
      <c r="A115" s="88"/>
      <c r="B115" s="82">
        <f>B114+7</f>
        <v>43527</v>
      </c>
      <c r="C115" s="20">
        <f>D114+G114-H114</f>
        <v>2216.158140729764</v>
      </c>
      <c r="D115" s="17">
        <f>C115+(C115*0.04)</f>
        <v>2304.8044663589544</v>
      </c>
      <c r="E115" s="17">
        <f>C115/3250</f>
        <v>0.68189481253223505</v>
      </c>
      <c r="F115" s="28">
        <f>(D115-C115)/E115</f>
        <v>129.9999999999998</v>
      </c>
      <c r="G115" s="18"/>
      <c r="H115" s="18"/>
      <c r="I115" s="19">
        <f>E115*50/C115</f>
        <v>1.5384615384615384E-2</v>
      </c>
      <c r="J115" s="18">
        <f>C115-(E115*1080)</f>
        <v>1479.71174319495</v>
      </c>
    </row>
    <row r="116" spans="1:16">
      <c r="A116" s="88"/>
      <c r="B116" s="82">
        <f>B115+7</f>
        <v>43534</v>
      </c>
      <c r="C116" s="20">
        <f>D115+G115-H115</f>
        <v>2304.8044663589544</v>
      </c>
      <c r="D116" s="17">
        <f>C116+(C116*0.04)</f>
        <v>2396.9966450133124</v>
      </c>
      <c r="E116" s="17">
        <f>C116/3250</f>
        <v>0.70917060503352447</v>
      </c>
      <c r="F116" s="28">
        <f>(D116-C116)/E116</f>
        <v>129.9999999999998</v>
      </c>
      <c r="G116" s="18"/>
      <c r="H116" s="18"/>
      <c r="I116" s="19">
        <f>E116*50/C116</f>
        <v>1.5384615384615385E-2</v>
      </c>
      <c r="J116" s="18">
        <f>C116-(E116*1080)</f>
        <v>1538.9002129227479</v>
      </c>
    </row>
    <row r="117" spans="1:16" ht="13.5" thickBot="1">
      <c r="A117" s="89"/>
      <c r="B117" s="82">
        <f>B116+7</f>
        <v>43541</v>
      </c>
      <c r="C117" s="20">
        <f>D116+G116-H116</f>
        <v>2396.9966450133124</v>
      </c>
      <c r="D117" s="17">
        <f>C117+(C117*0.04)</f>
        <v>2492.876510813845</v>
      </c>
      <c r="E117" s="17">
        <f>C117/3250</f>
        <v>0.73753742923486532</v>
      </c>
      <c r="F117" s="28">
        <f>(D117-C117)/E117</f>
        <v>130.00000000000011</v>
      </c>
      <c r="G117" s="81"/>
      <c r="H117" s="81"/>
      <c r="I117" s="19">
        <f>E117*50/C117</f>
        <v>1.5384615384615382E-2</v>
      </c>
      <c r="J117" s="18">
        <f>C117-(E117*1080)</f>
        <v>1600.4562214396578</v>
      </c>
      <c r="K117" s="95"/>
      <c r="L117" s="96"/>
      <c r="M117" s="96"/>
      <c r="N117" s="96"/>
      <c r="O117" s="96"/>
      <c r="P117" s="96"/>
    </row>
    <row r="118" spans="1:16" ht="13.5" thickBot="1">
      <c r="A118" s="79"/>
      <c r="B118" s="13"/>
      <c r="C118" s="22"/>
      <c r="D118" s="23"/>
      <c r="E118" s="23"/>
      <c r="F118" s="27"/>
      <c r="G118" s="23"/>
      <c r="H118" s="10"/>
      <c r="I118" s="24"/>
      <c r="J118" s="25"/>
    </row>
    <row r="119" spans="1:16">
      <c r="A119" s="87">
        <v>24</v>
      </c>
      <c r="B119" s="82">
        <f>B117+7</f>
        <v>43548</v>
      </c>
      <c r="C119" s="20">
        <f>D117+G117-H117</f>
        <v>2492.876510813845</v>
      </c>
      <c r="D119" s="17">
        <f>C119+(C119*0.04)</f>
        <v>2592.5915712463989</v>
      </c>
      <c r="E119" s="17">
        <f>C119/3250</f>
        <v>0.76703892640425997</v>
      </c>
      <c r="F119" s="28">
        <f>(D119-C119)/E119</f>
        <v>130.00000000000009</v>
      </c>
      <c r="G119" s="18"/>
      <c r="H119" s="18"/>
      <c r="I119" s="19">
        <f>E119*50/C119</f>
        <v>1.5384615384615382E-2</v>
      </c>
      <c r="J119" s="18">
        <f>C119-(E119*1080)</f>
        <v>1664.4744702972444</v>
      </c>
    </row>
    <row r="120" spans="1:16">
      <c r="A120" s="88"/>
      <c r="B120" s="82">
        <f>B119+7</f>
        <v>43555</v>
      </c>
      <c r="C120" s="20">
        <f>D119+G119-H119</f>
        <v>2592.5915712463989</v>
      </c>
      <c r="D120" s="17">
        <f>C120+(C120*0.04)</f>
        <v>2696.2952340962547</v>
      </c>
      <c r="E120" s="17">
        <f>C120/3250</f>
        <v>0.79772048346043045</v>
      </c>
      <c r="F120" s="28">
        <f>(D120-C120)/E120</f>
        <v>129.99999999999986</v>
      </c>
      <c r="G120" s="18"/>
      <c r="H120" s="18"/>
      <c r="I120" s="19">
        <f>E120*50/C120</f>
        <v>1.5384615384615385E-2</v>
      </c>
      <c r="J120" s="18">
        <f>C120-(E120*1080)</f>
        <v>1731.0534491091339</v>
      </c>
    </row>
    <row r="121" spans="1:16">
      <c r="A121" s="88"/>
      <c r="B121" s="82">
        <f>B120+7</f>
        <v>43562</v>
      </c>
      <c r="C121" s="20">
        <f>D120+G120-H120</f>
        <v>2696.2952340962547</v>
      </c>
      <c r="D121" s="17">
        <f>C121+(C121*0.04)</f>
        <v>2804.1470434601051</v>
      </c>
      <c r="E121" s="17">
        <f>C121/3250</f>
        <v>0.82962930279884761</v>
      </c>
      <c r="F121" s="28">
        <f>(D121-C121)/E121</f>
        <v>130.00000000000026</v>
      </c>
      <c r="G121" s="18"/>
      <c r="H121" s="18"/>
      <c r="I121" s="19">
        <f>E121*50/C121</f>
        <v>1.5384615384615384E-2</v>
      </c>
      <c r="J121" s="18">
        <f>C121-(E121*1080)</f>
        <v>1800.2955870734993</v>
      </c>
    </row>
    <row r="122" spans="1:16" ht="13.5" thickBot="1">
      <c r="A122" s="89"/>
      <c r="B122" s="82">
        <f>B121+7</f>
        <v>43569</v>
      </c>
      <c r="C122" s="20">
        <f>D121+G121-H121</f>
        <v>2804.1470434601051</v>
      </c>
      <c r="D122" s="17">
        <f>C122+(C122*0.04)</f>
        <v>2916.3129251985092</v>
      </c>
      <c r="E122" s="17">
        <f>C122/3250</f>
        <v>0.86281447491080154</v>
      </c>
      <c r="F122" s="28">
        <f>(D122-C122)/E122</f>
        <v>129.99999999999989</v>
      </c>
      <c r="G122" s="81"/>
      <c r="H122" s="81">
        <f>(D122-C109)*0.35</f>
        <v>383.1773667635585</v>
      </c>
      <c r="I122" s="19">
        <f>E122*50/C122</f>
        <v>1.5384615384615385E-2</v>
      </c>
      <c r="J122" s="18">
        <f>C122-(E122*1080)</f>
        <v>1872.3074105564394</v>
      </c>
      <c r="K122" s="90" t="s">
        <v>44</v>
      </c>
      <c r="L122" s="91"/>
      <c r="M122" s="91"/>
      <c r="N122" s="91"/>
      <c r="O122" s="91"/>
      <c r="P122" s="91"/>
    </row>
    <row r="123" spans="1:16" ht="13.5" thickBot="1">
      <c r="A123" s="79"/>
      <c r="B123" s="13"/>
      <c r="C123" s="22"/>
      <c r="D123" s="23"/>
      <c r="E123" s="23"/>
      <c r="F123" s="27"/>
      <c r="G123" s="23"/>
      <c r="H123" s="10"/>
      <c r="I123" s="24"/>
      <c r="J123" s="25"/>
    </row>
    <row r="124" spans="1:16">
      <c r="A124" s="87">
        <v>25</v>
      </c>
      <c r="B124" s="82">
        <f>B122+7</f>
        <v>43576</v>
      </c>
      <c r="C124" s="20">
        <f>D122+G122-H122</f>
        <v>2533.1355584349508</v>
      </c>
      <c r="D124" s="17">
        <f>C124+(C124*0.04)</f>
        <v>2634.4609807723486</v>
      </c>
      <c r="E124" s="17">
        <f>C124/3250</f>
        <v>0.77942632567229253</v>
      </c>
      <c r="F124" s="28">
        <f>(D124-C124)/E124</f>
        <v>129.9999999999998</v>
      </c>
      <c r="G124" s="17"/>
      <c r="H124" s="18"/>
      <c r="I124" s="19">
        <f>E124*50/C124</f>
        <v>1.5384615384615384E-2</v>
      </c>
      <c r="J124" s="18">
        <f>C124-(E124*1080)</f>
        <v>1691.3551267088749</v>
      </c>
    </row>
    <row r="125" spans="1:16">
      <c r="A125" s="88"/>
      <c r="B125" s="82">
        <f>B124+7</f>
        <v>43583</v>
      </c>
      <c r="C125" s="20">
        <f>D124+G124-H124</f>
        <v>2634.4609807723486</v>
      </c>
      <c r="D125" s="17">
        <f>C125+(C125*0.04)</f>
        <v>2739.8394200032426</v>
      </c>
      <c r="E125" s="17">
        <f>C125/3250</f>
        <v>0.8106033786991842</v>
      </c>
      <c r="F125" s="28">
        <f>(D125-C125)/E125</f>
        <v>130</v>
      </c>
      <c r="G125" s="17"/>
      <c r="H125" s="18"/>
      <c r="I125" s="19">
        <f>E125*50/C125</f>
        <v>1.5384615384615384E-2</v>
      </c>
      <c r="J125" s="18">
        <f>C125-(E125*1080)</f>
        <v>1759.0093317772298</v>
      </c>
      <c r="K125" s="31"/>
      <c r="L125" s="31"/>
    </row>
    <row r="126" spans="1:16">
      <c r="A126" s="88"/>
      <c r="B126" s="82">
        <f>B125+7</f>
        <v>43590</v>
      </c>
      <c r="C126" s="20">
        <f>D125+G125-H125</f>
        <v>2739.8394200032426</v>
      </c>
      <c r="D126" s="17">
        <f>C126+(C126*0.04)</f>
        <v>2849.4329968033721</v>
      </c>
      <c r="E126" s="17">
        <f>C126/3250</f>
        <v>0.84302751384715158</v>
      </c>
      <c r="F126" s="28">
        <f>(D126-C126)/E126</f>
        <v>129.9999999999998</v>
      </c>
      <c r="G126" s="17"/>
      <c r="H126" s="18"/>
      <c r="I126" s="19">
        <f>E126*50/C126</f>
        <v>1.5384615384615384E-2</v>
      </c>
      <c r="J126" s="18">
        <f>C126-(E126*1080)</f>
        <v>1829.3697050483188</v>
      </c>
      <c r="K126" s="31"/>
      <c r="L126" s="31"/>
    </row>
    <row r="127" spans="1:16" ht="13.5" thickBot="1">
      <c r="A127" s="89"/>
      <c r="B127" s="82">
        <f>B126+7</f>
        <v>43597</v>
      </c>
      <c r="C127" s="20">
        <f>D126+G126-H126</f>
        <v>2849.4329968033721</v>
      </c>
      <c r="D127" s="17">
        <f>C127+(C127*0.04)</f>
        <v>2963.4103166755071</v>
      </c>
      <c r="E127" s="17">
        <f>C127/3250</f>
        <v>0.87674861440103757</v>
      </c>
      <c r="F127" s="28">
        <f>(D127-C127)/E127</f>
        <v>130.00000000000014</v>
      </c>
      <c r="G127" s="81"/>
      <c r="H127" s="81"/>
      <c r="I127" s="19">
        <f>E127*50/C127</f>
        <v>1.5384615384615384E-2</v>
      </c>
      <c r="J127" s="18">
        <f>C127-(E127*1080)</f>
        <v>1902.5444932502514</v>
      </c>
      <c r="K127" s="95"/>
      <c r="L127" s="96"/>
      <c r="M127" s="96"/>
      <c r="N127" s="96"/>
      <c r="O127" s="96"/>
      <c r="P127" s="96"/>
    </row>
    <row r="128" spans="1:16" ht="13.5" thickBot="1">
      <c r="A128" s="79"/>
      <c r="B128" s="13"/>
      <c r="C128" s="22"/>
      <c r="D128" s="23"/>
      <c r="E128" s="23"/>
      <c r="F128" s="27"/>
      <c r="G128" s="23"/>
      <c r="H128" s="10"/>
      <c r="I128" s="24"/>
      <c r="J128" s="25"/>
    </row>
    <row r="129" spans="1:16">
      <c r="A129" s="87">
        <v>26</v>
      </c>
      <c r="B129" s="82">
        <f>B127+7</f>
        <v>43604</v>
      </c>
      <c r="C129" s="20">
        <f>D127+G127-H127</f>
        <v>2963.4103166755071</v>
      </c>
      <c r="D129" s="17">
        <f>C129+(C129*0.04)</f>
        <v>3081.9467293425273</v>
      </c>
      <c r="E129" s="17">
        <f>C129/3250</f>
        <v>0.91181855897707909</v>
      </c>
      <c r="F129" s="28">
        <f>(D129-C129)/E129</f>
        <v>129.99999999999986</v>
      </c>
      <c r="G129" s="18"/>
      <c r="H129" s="18"/>
      <c r="I129" s="19">
        <f>E129*50/C129</f>
        <v>1.5384615384615384E-2</v>
      </c>
      <c r="J129" s="18">
        <f>C129-(E129*1080)</f>
        <v>1978.6462729802618</v>
      </c>
    </row>
    <row r="130" spans="1:16">
      <c r="A130" s="88"/>
      <c r="B130" s="82">
        <f>B129+7</f>
        <v>43611</v>
      </c>
      <c r="C130" s="20">
        <f>D129+G129-H129</f>
        <v>3081.9467293425273</v>
      </c>
      <c r="D130" s="17">
        <f>C130+(C130*0.04)</f>
        <v>3205.2245985162285</v>
      </c>
      <c r="E130" s="17">
        <f>C130/3250</f>
        <v>0.94829130133616224</v>
      </c>
      <c r="F130" s="28">
        <f>(D130-C130)/E130</f>
        <v>130.00000000000014</v>
      </c>
      <c r="G130" s="18"/>
      <c r="H130" s="18"/>
      <c r="I130" s="19">
        <f>E130*50/C130</f>
        <v>1.5384615384615384E-2</v>
      </c>
      <c r="J130" s="18">
        <f>C130-(E130*1080)</f>
        <v>2057.7921238994722</v>
      </c>
    </row>
    <row r="131" spans="1:16">
      <c r="A131" s="88"/>
      <c r="B131" s="82">
        <f>B130+7</f>
        <v>43618</v>
      </c>
      <c r="C131" s="20">
        <f>D130+G130-H130</f>
        <v>3205.2245985162285</v>
      </c>
      <c r="D131" s="17">
        <f>C131+(C131*0.04)</f>
        <v>3333.4335824568775</v>
      </c>
      <c r="E131" s="17">
        <f>C131/3250</f>
        <v>0.98622295338960875</v>
      </c>
      <c r="F131" s="28">
        <f>(D131-C131)/E131</f>
        <v>129.99999999999983</v>
      </c>
      <c r="G131" s="18"/>
      <c r="H131" s="18"/>
      <c r="I131" s="19">
        <f>E131*50/C131</f>
        <v>1.5384615384615384E-2</v>
      </c>
      <c r="J131" s="18">
        <f>C131-(E131*1080)</f>
        <v>2140.103808855451</v>
      </c>
    </row>
    <row r="132" spans="1:16" ht="13.5" thickBot="1">
      <c r="A132" s="89"/>
      <c r="B132" s="82">
        <f>B131+7</f>
        <v>43625</v>
      </c>
      <c r="C132" s="20">
        <f>D131+G131-H131</f>
        <v>3333.4335824568775</v>
      </c>
      <c r="D132" s="17">
        <f>C132+(C132*0.04)</f>
        <v>3466.7709257551528</v>
      </c>
      <c r="E132" s="17">
        <f>C132/3250</f>
        <v>1.0256718715251931</v>
      </c>
      <c r="F132" s="28">
        <f>(D132-C132)/E132</f>
        <v>130.0000000000002</v>
      </c>
      <c r="G132" s="81"/>
      <c r="H132" s="81"/>
      <c r="I132" s="19">
        <f>E132*50/C132</f>
        <v>1.5384615384615385E-2</v>
      </c>
      <c r="J132" s="18">
        <f>C132-(E132*1080)</f>
        <v>2225.7079612096686</v>
      </c>
      <c r="K132" s="95"/>
      <c r="L132" s="96"/>
      <c r="M132" s="96"/>
      <c r="N132" s="96"/>
      <c r="O132" s="96"/>
      <c r="P132" s="96"/>
    </row>
    <row r="133" spans="1:16" ht="13.5" thickBot="1">
      <c r="A133" s="79"/>
      <c r="B133" s="13"/>
      <c r="C133" s="22"/>
      <c r="D133" s="23"/>
      <c r="E133" s="23"/>
      <c r="F133" s="27"/>
      <c r="G133" s="23"/>
      <c r="H133" s="10"/>
      <c r="I133" s="24"/>
      <c r="J133" s="25"/>
    </row>
    <row r="134" spans="1:16">
      <c r="A134" s="87">
        <v>27</v>
      </c>
      <c r="B134" s="82">
        <f>B132+7</f>
        <v>43632</v>
      </c>
      <c r="C134" s="20">
        <f>D132+G132-H132</f>
        <v>3466.7709257551528</v>
      </c>
      <c r="D134" s="17">
        <f>C134+(C134*0.04)</f>
        <v>3605.4417627853591</v>
      </c>
      <c r="E134" s="17">
        <f>C134/3250</f>
        <v>1.0666987463862008</v>
      </c>
      <c r="F134" s="28">
        <f>(D134-C134)/E134</f>
        <v>130.00000000000014</v>
      </c>
      <c r="G134" s="18"/>
      <c r="H134" s="18"/>
      <c r="I134" s="19">
        <f>E134*50/C134</f>
        <v>1.5384615384615382E-2</v>
      </c>
      <c r="J134" s="18">
        <f>C134-(E134*1080)</f>
        <v>2314.736279658056</v>
      </c>
    </row>
    <row r="135" spans="1:16">
      <c r="A135" s="88"/>
      <c r="B135" s="82">
        <f>B134+7</f>
        <v>43639</v>
      </c>
      <c r="C135" s="20">
        <f>D134+G134-H134</f>
        <v>3605.4417627853591</v>
      </c>
      <c r="D135" s="17">
        <f>C135+(C135*0.04)</f>
        <v>3749.6594332967734</v>
      </c>
      <c r="E135" s="17">
        <f>C135/3250</f>
        <v>1.1093666962416489</v>
      </c>
      <c r="F135" s="28">
        <f>(D135-C135)/E135</f>
        <v>129.99999999999997</v>
      </c>
      <c r="G135" s="18"/>
      <c r="H135" s="18"/>
      <c r="I135" s="19">
        <f>E135*50/C135</f>
        <v>1.5384615384615384E-2</v>
      </c>
      <c r="J135" s="18">
        <f>C135-(E135*1080)</f>
        <v>2407.3257308443781</v>
      </c>
    </row>
    <row r="136" spans="1:16">
      <c r="A136" s="88"/>
      <c r="B136" s="82">
        <f>B135+7</f>
        <v>43646</v>
      </c>
      <c r="C136" s="20">
        <f>D135+G135-H135</f>
        <v>3749.6594332967734</v>
      </c>
      <c r="D136" s="17">
        <f>C136+(C136*0.04)</f>
        <v>3899.6458106286445</v>
      </c>
      <c r="E136" s="17">
        <f>C136/3250</f>
        <v>1.1537413640913148</v>
      </c>
      <c r="F136" s="28">
        <f>(D136-C136)/E136</f>
        <v>130.0000000000002</v>
      </c>
      <c r="G136" s="18"/>
      <c r="H136" s="18"/>
      <c r="I136" s="19">
        <f>E136*50/C136</f>
        <v>1.5384615384615384E-2</v>
      </c>
      <c r="J136" s="18">
        <f>C136-(E136*1080)</f>
        <v>2503.6187600781532</v>
      </c>
    </row>
    <row r="137" spans="1:16" ht="13.5" thickBot="1">
      <c r="A137" s="89"/>
      <c r="B137" s="82">
        <f>B136+7</f>
        <v>43653</v>
      </c>
      <c r="C137" s="20">
        <f>D136+G136-H136</f>
        <v>3899.6458106286445</v>
      </c>
      <c r="D137" s="17">
        <f>C137+(C137*0.04)</f>
        <v>4055.6316430537904</v>
      </c>
      <c r="E137" s="17">
        <f>C137/3250</f>
        <v>1.1998910186549676</v>
      </c>
      <c r="F137" s="28">
        <f>(D137-C137)/E137</f>
        <v>130.00000000000006</v>
      </c>
      <c r="G137" s="81"/>
      <c r="H137" s="81">
        <f>(D137-C124)*0.35</f>
        <v>532.8736296165938</v>
      </c>
      <c r="I137" s="19">
        <f>E137*50/C137</f>
        <v>1.5384615384615385E-2</v>
      </c>
      <c r="J137" s="18">
        <f>C137-(E137*1080)</f>
        <v>2603.7635104812798</v>
      </c>
      <c r="K137" s="90" t="s">
        <v>44</v>
      </c>
      <c r="L137" s="91"/>
      <c r="M137" s="91"/>
      <c r="N137" s="91"/>
      <c r="O137" s="91"/>
      <c r="P137" s="91"/>
    </row>
    <row r="138" spans="1:16" ht="13.5" thickBot="1">
      <c r="A138" s="79"/>
      <c r="B138" s="13"/>
      <c r="C138" s="22"/>
      <c r="D138" s="23"/>
      <c r="E138" s="23"/>
      <c r="F138" s="27"/>
      <c r="G138" s="23"/>
      <c r="H138" s="10"/>
      <c r="I138" s="24"/>
      <c r="J138" s="25"/>
    </row>
    <row r="139" spans="1:16">
      <c r="A139" s="87">
        <v>28</v>
      </c>
      <c r="B139" s="82">
        <f>B137+7</f>
        <v>43660</v>
      </c>
      <c r="C139" s="20">
        <f>D137+G137-H137</f>
        <v>3522.7580134371965</v>
      </c>
      <c r="D139" s="17">
        <f>C139+(C139*0.04)</f>
        <v>3663.6683339746842</v>
      </c>
      <c r="E139" s="17">
        <f>C139/3250</f>
        <v>1.0839255425960606</v>
      </c>
      <c r="F139" s="28">
        <f>(D139-C139)/E139</f>
        <v>129.99999999999983</v>
      </c>
      <c r="G139" s="18"/>
      <c r="H139" s="18"/>
      <c r="I139" s="19">
        <f>E139*50/C139</f>
        <v>1.5384615384615385E-2</v>
      </c>
      <c r="J139" s="18">
        <f>C139-(E139*1080)</f>
        <v>2352.118427433451</v>
      </c>
    </row>
    <row r="140" spans="1:16">
      <c r="A140" s="88"/>
      <c r="B140" s="82">
        <f>B139+7</f>
        <v>43667</v>
      </c>
      <c r="C140" s="20">
        <f>D139+G139-H139</f>
        <v>3663.6683339746842</v>
      </c>
      <c r="D140" s="17">
        <f>C140+(C140*0.04)</f>
        <v>3810.2150673336714</v>
      </c>
      <c r="E140" s="17">
        <f>C140/3250</f>
        <v>1.1272825642999029</v>
      </c>
      <c r="F140" s="28">
        <f>(D140-C140)/E140</f>
        <v>129.99999999999989</v>
      </c>
      <c r="G140" s="18"/>
      <c r="H140" s="18"/>
      <c r="I140" s="19">
        <f>E140*50/C140</f>
        <v>1.5384615384615387E-2</v>
      </c>
      <c r="J140" s="18">
        <f>C140-(E140*1080)</f>
        <v>2446.2031645307889</v>
      </c>
    </row>
    <row r="141" spans="1:16">
      <c r="A141" s="88"/>
      <c r="B141" s="82">
        <f>B140+7</f>
        <v>43674</v>
      </c>
      <c r="C141" s="20">
        <f>D140+G140-H140</f>
        <v>3810.2150673336714</v>
      </c>
      <c r="D141" s="17">
        <f>C141+(C141*0.04)</f>
        <v>3962.6236700270183</v>
      </c>
      <c r="E141" s="17">
        <f>C141/3250</f>
        <v>1.1723738668718988</v>
      </c>
      <c r="F141" s="28">
        <f>(D141-C141)/E141</f>
        <v>130.00000000000003</v>
      </c>
      <c r="G141" s="18"/>
      <c r="H141" s="18"/>
      <c r="I141" s="19">
        <f>E141*50/C141</f>
        <v>1.5384615384615384E-2</v>
      </c>
      <c r="J141" s="18">
        <f>C141-(E141*1080)</f>
        <v>2544.0512911120204</v>
      </c>
    </row>
    <row r="142" spans="1:16" ht="13.5" thickBot="1">
      <c r="A142" s="89"/>
      <c r="B142" s="82">
        <f>B141+7</f>
        <v>43681</v>
      </c>
      <c r="C142" s="20">
        <f>D141+G141-H141</f>
        <v>3962.6236700270183</v>
      </c>
      <c r="D142" s="17">
        <f>C142+(C142*0.04)</f>
        <v>4121.1286168280994</v>
      </c>
      <c r="E142" s="17">
        <f>C142/3250</f>
        <v>1.2192688215467749</v>
      </c>
      <c r="F142" s="28">
        <f>(D142-C142)/E142</f>
        <v>130.00000000000034</v>
      </c>
      <c r="G142" s="81"/>
      <c r="H142" s="81"/>
      <c r="I142" s="19">
        <f>E142*50/C142</f>
        <v>1.5384615384615384E-2</v>
      </c>
      <c r="J142" s="18">
        <f>C142-(E142*1080)</f>
        <v>2645.8133427565017</v>
      </c>
      <c r="K142" s="95"/>
      <c r="L142" s="96"/>
      <c r="M142" s="96"/>
      <c r="N142" s="96"/>
      <c r="O142" s="96"/>
      <c r="P142" s="96"/>
    </row>
    <row r="143" spans="1:16" ht="13.5" thickBot="1">
      <c r="A143" s="79"/>
      <c r="B143" s="13"/>
      <c r="C143" s="22"/>
      <c r="D143" s="23"/>
      <c r="E143" s="23"/>
      <c r="F143" s="27"/>
      <c r="G143" s="23"/>
      <c r="H143" s="10"/>
      <c r="I143" s="24"/>
      <c r="J143" s="25"/>
    </row>
    <row r="144" spans="1:16">
      <c r="A144" s="87">
        <v>29</v>
      </c>
      <c r="B144" s="82">
        <f>B142+7</f>
        <v>43688</v>
      </c>
      <c r="C144" s="20">
        <f>D142+G142-H142</f>
        <v>4121.1286168280994</v>
      </c>
      <c r="D144" s="17">
        <f>C144+(C144*0.04)</f>
        <v>4285.9737615012236</v>
      </c>
      <c r="E144" s="17">
        <f>C144/3250</f>
        <v>1.2680395744086459</v>
      </c>
      <c r="F144" s="28">
        <f>(D144-C144)/E144</f>
        <v>130.00000000000017</v>
      </c>
      <c r="G144" s="18"/>
      <c r="H144" s="18"/>
      <c r="I144" s="19">
        <f>E144*50/C144</f>
        <v>1.5384615384615384E-2</v>
      </c>
      <c r="J144" s="18">
        <f>C144-(E144*1080)</f>
        <v>2751.6458764667618</v>
      </c>
    </row>
    <row r="145" spans="1:16">
      <c r="A145" s="88"/>
      <c r="B145" s="82">
        <f>B144+7</f>
        <v>43695</v>
      </c>
      <c r="C145" s="20">
        <f>D144+G144-H144</f>
        <v>4285.9737615012236</v>
      </c>
      <c r="D145" s="17">
        <f>C145+(C145*0.04)</f>
        <v>4457.4127119612722</v>
      </c>
      <c r="E145" s="17">
        <f>C145/3250</f>
        <v>1.3187611573849918</v>
      </c>
      <c r="F145" s="28">
        <f>(D145-C145)/E145</f>
        <v>129.99999999999972</v>
      </c>
      <c r="G145" s="18"/>
      <c r="H145" s="18"/>
      <c r="I145" s="19">
        <f>E145*50/C145</f>
        <v>1.5384615384615384E-2</v>
      </c>
      <c r="J145" s="18">
        <f>C145-(E145*1080)</f>
        <v>2861.7117115254323</v>
      </c>
    </row>
    <row r="146" spans="1:16">
      <c r="A146" s="88"/>
      <c r="B146" s="82">
        <f>B145+7</f>
        <v>43702</v>
      </c>
      <c r="C146" s="20">
        <f>D145+G145-H145</f>
        <v>4457.4127119612722</v>
      </c>
      <c r="D146" s="17">
        <f>C146+(C146*0.04)</f>
        <v>4635.7092204397231</v>
      </c>
      <c r="E146" s="17">
        <f>C146/3250</f>
        <v>1.3715116036803914</v>
      </c>
      <c r="F146" s="28">
        <f>(D146-C146)/E146</f>
        <v>130.00000000000006</v>
      </c>
      <c r="G146" s="18"/>
      <c r="H146" s="18"/>
      <c r="I146" s="19">
        <f>E146*50/C146</f>
        <v>1.5384615384615384E-2</v>
      </c>
      <c r="J146" s="18">
        <f>C146-(E146*1080)</f>
        <v>2976.1801799864497</v>
      </c>
    </row>
    <row r="147" spans="1:16" ht="13.5" thickBot="1">
      <c r="A147" s="89"/>
      <c r="B147" s="82">
        <f>B146+7</f>
        <v>43709</v>
      </c>
      <c r="C147" s="20">
        <f>D146+G146-H146</f>
        <v>4635.7092204397231</v>
      </c>
      <c r="D147" s="17">
        <f>C147+(C147*0.04)</f>
        <v>4821.1375892573124</v>
      </c>
      <c r="E147" s="17">
        <f>C147/3250</f>
        <v>1.4263720678276071</v>
      </c>
      <c r="F147" s="28">
        <f>(D147-C147)/E147</f>
        <v>130.0000000000002</v>
      </c>
      <c r="G147" s="81"/>
      <c r="H147" s="81"/>
      <c r="I147" s="19">
        <f>E147*50/C147</f>
        <v>1.5384615384615384E-2</v>
      </c>
      <c r="J147" s="18">
        <f>C147-(E147*1080)</f>
        <v>3095.2273871859074</v>
      </c>
      <c r="K147" s="95"/>
      <c r="L147" s="96"/>
      <c r="M147" s="96"/>
      <c r="N147" s="96"/>
      <c r="O147" s="96"/>
      <c r="P147" s="96"/>
    </row>
    <row r="148" spans="1:16" ht="13.5" thickBot="1">
      <c r="A148" s="79"/>
      <c r="B148" s="13"/>
      <c r="C148" s="22"/>
      <c r="D148" s="23"/>
      <c r="E148" s="23"/>
      <c r="F148" s="27"/>
      <c r="G148" s="23"/>
      <c r="H148" s="10"/>
      <c r="I148" s="24"/>
      <c r="J148" s="25"/>
    </row>
    <row r="149" spans="1:16">
      <c r="A149" s="87">
        <v>30</v>
      </c>
      <c r="B149" s="82">
        <f>B147+7</f>
        <v>43716</v>
      </c>
      <c r="C149" s="20">
        <f>D147+G147-H147</f>
        <v>4821.1375892573124</v>
      </c>
      <c r="D149" s="17">
        <f>C149+(C149*0.04)</f>
        <v>5013.9830928276051</v>
      </c>
      <c r="E149" s="17">
        <f>C149/3250</f>
        <v>1.4834269505407114</v>
      </c>
      <c r="F149" s="28">
        <f>(D149-C149)/E149</f>
        <v>130.00000000000017</v>
      </c>
      <c r="G149" s="18"/>
      <c r="H149" s="18"/>
      <c r="I149" s="19">
        <f>E149*50/C149</f>
        <v>1.5384615384615382E-2</v>
      </c>
      <c r="J149" s="18">
        <f>C149-(E149*1080)</f>
        <v>3219.0364826733439</v>
      </c>
    </row>
    <row r="150" spans="1:16">
      <c r="A150" s="88"/>
      <c r="B150" s="82">
        <f>B149+7</f>
        <v>43723</v>
      </c>
      <c r="C150" s="20">
        <f>D149+G149-H149</f>
        <v>5013.9830928276051</v>
      </c>
      <c r="D150" s="17">
        <f>C150+(C150*0.04)</f>
        <v>5214.5424165407094</v>
      </c>
      <c r="E150" s="17">
        <f>C150/3250</f>
        <v>1.5427640285623401</v>
      </c>
      <c r="F150" s="28">
        <f>(D150-C150)/E150</f>
        <v>130.00000000000006</v>
      </c>
      <c r="G150" s="18"/>
      <c r="H150" s="18"/>
      <c r="I150" s="19">
        <f>E150*50/C150</f>
        <v>1.5384615384615384E-2</v>
      </c>
      <c r="J150" s="18">
        <f>C150-(E150*1080)</f>
        <v>3347.7979419802778</v>
      </c>
    </row>
    <row r="151" spans="1:16">
      <c r="A151" s="88"/>
      <c r="B151" s="82">
        <f>B150+7</f>
        <v>43730</v>
      </c>
      <c r="C151" s="20">
        <f>D150+G150-H150</f>
        <v>5214.5424165407094</v>
      </c>
      <c r="D151" s="17">
        <f>C151+(C151*0.04)</f>
        <v>5423.1241132023379</v>
      </c>
      <c r="E151" s="17">
        <f>C151/3250</f>
        <v>1.6044745897048336</v>
      </c>
      <c r="F151" s="28">
        <f>(D151-C151)/E151</f>
        <v>130.00000000000009</v>
      </c>
      <c r="G151" s="18"/>
      <c r="H151" s="18"/>
      <c r="I151" s="19">
        <f>E151*50/C151</f>
        <v>1.5384615384615384E-2</v>
      </c>
      <c r="J151" s="18">
        <f>C151-(E151*1080)</f>
        <v>3481.7098596594892</v>
      </c>
    </row>
    <row r="152" spans="1:16" ht="13.5" thickBot="1">
      <c r="A152" s="89"/>
      <c r="B152" s="82">
        <f>B151+7</f>
        <v>43737</v>
      </c>
      <c r="C152" s="20">
        <f>D151+G151-H151</f>
        <v>5423.1241132023379</v>
      </c>
      <c r="D152" s="17">
        <f>C152+(C152*0.04)</f>
        <v>5640.0490777304312</v>
      </c>
      <c r="E152" s="17">
        <f>C152/3250</f>
        <v>1.668653573293027</v>
      </c>
      <c r="F152" s="28">
        <f>(D152-C152)/E152</f>
        <v>129.99999999999991</v>
      </c>
      <c r="G152" s="81"/>
      <c r="H152" s="81">
        <f>(D152-C139)*0.35</f>
        <v>741.05187250263214</v>
      </c>
      <c r="I152" s="19">
        <f>E152*50/C152</f>
        <v>1.5384615384615384E-2</v>
      </c>
      <c r="J152" s="18">
        <f>C152-(E152*1080)</f>
        <v>3620.9782540458687</v>
      </c>
      <c r="K152" s="90" t="s">
        <v>44</v>
      </c>
      <c r="L152" s="91"/>
      <c r="M152" s="91"/>
      <c r="N152" s="91"/>
      <c r="O152" s="91"/>
      <c r="P152" s="91"/>
    </row>
    <row r="153" spans="1:16" ht="13.5" thickBot="1">
      <c r="A153" s="79"/>
      <c r="B153" s="13"/>
      <c r="C153" s="22"/>
      <c r="D153" s="23"/>
      <c r="E153" s="23"/>
      <c r="F153" s="27"/>
      <c r="G153" s="23"/>
      <c r="H153" s="10"/>
      <c r="I153" s="24"/>
      <c r="J153" s="25"/>
    </row>
    <row r="154" spans="1:16">
      <c r="A154" s="87">
        <v>31</v>
      </c>
      <c r="B154" s="82">
        <f>B152+7</f>
        <v>43744</v>
      </c>
      <c r="C154" s="20">
        <f>D152+G152-H152</f>
        <v>4898.997205227799</v>
      </c>
      <c r="D154" s="17">
        <f>C154+(C154*0.04)</f>
        <v>5094.9570934369112</v>
      </c>
      <c r="E154" s="17">
        <f>C154/3250</f>
        <v>1.5073837554547074</v>
      </c>
      <c r="F154" s="28">
        <f>(D154-C154)/E154</f>
        <v>130.0000000000002</v>
      </c>
      <c r="G154" s="17"/>
      <c r="H154" s="80"/>
      <c r="I154" s="19">
        <f>E154*50/C154</f>
        <v>1.5384615384615385E-2</v>
      </c>
      <c r="J154" s="18">
        <f>C154-(E154*1080)</f>
        <v>3271.0227493367147</v>
      </c>
    </row>
    <row r="155" spans="1:16">
      <c r="A155" s="88"/>
      <c r="B155" s="82">
        <f>B154+7</f>
        <v>43751</v>
      </c>
      <c r="C155" s="20">
        <f>D154+G154-H154</f>
        <v>5094.9570934369112</v>
      </c>
      <c r="D155" s="17">
        <f>C155+(C155*0.04)</f>
        <v>5298.7553771743878</v>
      </c>
      <c r="E155" s="17">
        <f>C155/3250</f>
        <v>1.5676791056728958</v>
      </c>
      <c r="F155" s="28">
        <f>(D155-C155)/E155</f>
        <v>130.00000000000009</v>
      </c>
      <c r="G155" s="17"/>
      <c r="H155" s="80"/>
      <c r="I155" s="19">
        <f>E155*50/C155</f>
        <v>1.5384615384615385E-2</v>
      </c>
      <c r="J155" s="18">
        <f>C155-(E155*1080)</f>
        <v>3401.8636593101837</v>
      </c>
    </row>
    <row r="156" spans="1:16">
      <c r="A156" s="88"/>
      <c r="B156" s="82">
        <f>B155+7</f>
        <v>43758</v>
      </c>
      <c r="C156" s="20">
        <f>D155+G155-H155</f>
        <v>5298.7553771743878</v>
      </c>
      <c r="D156" s="17">
        <f>C156+(C156*0.04)</f>
        <v>5510.7055922613636</v>
      </c>
      <c r="E156" s="17">
        <f>C156/3250</f>
        <v>1.6303862698998117</v>
      </c>
      <c r="F156" s="28">
        <f>(D156-C156)/E156</f>
        <v>130.00000000000011</v>
      </c>
      <c r="G156" s="17"/>
      <c r="H156" s="80"/>
      <c r="I156" s="19">
        <f>E156*50/C156</f>
        <v>1.5384615384615385E-2</v>
      </c>
      <c r="J156" s="18">
        <f>C156-(E156*1080)</f>
        <v>3537.9382056825912</v>
      </c>
    </row>
    <row r="157" spans="1:16" ht="13.5" thickBot="1">
      <c r="A157" s="89"/>
      <c r="B157" s="82">
        <f>B156+7</f>
        <v>43765</v>
      </c>
      <c r="C157" s="20">
        <f>D156+G156-H156</f>
        <v>5510.7055922613636</v>
      </c>
      <c r="D157" s="17">
        <f>C157+(C157*0.04)</f>
        <v>5731.1338159518182</v>
      </c>
      <c r="E157" s="17">
        <f>C157/3250</f>
        <v>1.6956017206958043</v>
      </c>
      <c r="F157" s="28">
        <f>(D157-C157)/E157</f>
        <v>130.00000000000003</v>
      </c>
      <c r="G157" s="81"/>
      <c r="H157" s="81"/>
      <c r="I157" s="19">
        <f>E157*50/C157</f>
        <v>1.5384615384615385E-2</v>
      </c>
      <c r="J157" s="18">
        <f>C157-(E157*1080)</f>
        <v>3679.4557339098947</v>
      </c>
      <c r="K157" s="95"/>
      <c r="L157" s="96"/>
      <c r="M157" s="96"/>
      <c r="N157" s="96"/>
      <c r="O157" s="96"/>
      <c r="P157" s="96"/>
    </row>
    <row r="158" spans="1:16" ht="13.5" thickBot="1">
      <c r="A158" s="79"/>
      <c r="B158" s="13"/>
      <c r="C158" s="22"/>
      <c r="D158" s="23"/>
      <c r="E158" s="23"/>
      <c r="F158" s="27"/>
      <c r="G158" s="23"/>
      <c r="H158" s="10"/>
      <c r="I158" s="24"/>
      <c r="J158" s="25"/>
    </row>
    <row r="159" spans="1:16">
      <c r="A159" s="87">
        <v>32</v>
      </c>
      <c r="B159" s="82">
        <f>B157+7</f>
        <v>43772</v>
      </c>
      <c r="C159" s="20">
        <f>D157+G157-H157</f>
        <v>5731.1338159518182</v>
      </c>
      <c r="D159" s="17">
        <f>C159+(C159*0.04)</f>
        <v>5960.3791685898905</v>
      </c>
      <c r="E159" s="17">
        <f>C159/3250</f>
        <v>1.7634257895236363</v>
      </c>
      <c r="F159" s="28">
        <f>(D159-C159)/E159</f>
        <v>129.99999999999977</v>
      </c>
      <c r="G159" s="18"/>
      <c r="H159" s="18"/>
      <c r="I159" s="19">
        <f>E159*50/C159</f>
        <v>1.5384615384615384E-2</v>
      </c>
      <c r="J159" s="18">
        <f>C159-(E159*1080)</f>
        <v>3826.6339632662912</v>
      </c>
    </row>
    <row r="160" spans="1:16">
      <c r="A160" s="88"/>
      <c r="B160" s="82">
        <f>B159+7</f>
        <v>43779</v>
      </c>
      <c r="C160" s="20">
        <f>D159+G159-H159</f>
        <v>5960.3791685898905</v>
      </c>
      <c r="D160" s="17">
        <f>C160+(C160*0.04)</f>
        <v>6198.7943353334858</v>
      </c>
      <c r="E160" s="17">
        <f>C160/3250</f>
        <v>1.8339628211045818</v>
      </c>
      <c r="F160" s="28">
        <f>(D160-C160)/E160</f>
        <v>129.99999999999986</v>
      </c>
      <c r="G160" s="18"/>
      <c r="H160" s="18"/>
      <c r="I160" s="19">
        <f>E160*50/C160</f>
        <v>1.5384615384615385E-2</v>
      </c>
      <c r="J160" s="18">
        <f>C160-(E160*1080)</f>
        <v>3979.6993217969421</v>
      </c>
    </row>
    <row r="161" spans="1:16">
      <c r="A161" s="88"/>
      <c r="B161" s="82">
        <f>B160+7</f>
        <v>43786</v>
      </c>
      <c r="C161" s="20">
        <f>D160+G160-H160</f>
        <v>6198.7943353334858</v>
      </c>
      <c r="D161" s="17">
        <f>C161+(C161*0.04)</f>
        <v>6446.7461087468255</v>
      </c>
      <c r="E161" s="17">
        <f>C161/3250</f>
        <v>1.9073213339487649</v>
      </c>
      <c r="F161" s="28">
        <f>(D161-C161)/E161</f>
        <v>130.00000000000011</v>
      </c>
      <c r="G161" s="18"/>
      <c r="H161" s="18"/>
      <c r="I161" s="19">
        <f>E161*50/C161</f>
        <v>1.5384615384615384E-2</v>
      </c>
      <c r="J161" s="18">
        <f>C161-(E161*1080)</f>
        <v>4138.8872946688198</v>
      </c>
    </row>
    <row r="162" spans="1:16" ht="13.5" thickBot="1">
      <c r="A162" s="89"/>
      <c r="B162" s="82">
        <f>B161+7</f>
        <v>43793</v>
      </c>
      <c r="C162" s="20">
        <f>D161+G161-H161</f>
        <v>6446.7461087468255</v>
      </c>
      <c r="D162" s="17">
        <f>C162+(C162*0.04)</f>
        <v>6704.6159530966988</v>
      </c>
      <c r="E162" s="17">
        <f>C162/3250</f>
        <v>1.9836141873067155</v>
      </c>
      <c r="F162" s="28">
        <f>(D162-C162)/E162</f>
        <v>130.00000000000017</v>
      </c>
      <c r="G162" s="81"/>
      <c r="H162" s="81"/>
      <c r="I162" s="19">
        <f>E162*50/C162</f>
        <v>1.5384615384615384E-2</v>
      </c>
      <c r="J162" s="18">
        <f>C162-(E162*1080)</f>
        <v>4304.4427864555728</v>
      </c>
      <c r="K162" s="95"/>
      <c r="L162" s="96"/>
      <c r="M162" s="96"/>
      <c r="N162" s="96"/>
      <c r="O162" s="96"/>
      <c r="P162" s="96"/>
    </row>
    <row r="163" spans="1:16" ht="13.5" thickBot="1">
      <c r="A163" s="79"/>
      <c r="B163" s="13"/>
      <c r="C163" s="22"/>
      <c r="D163" s="23"/>
      <c r="E163" s="23"/>
      <c r="F163" s="27"/>
      <c r="G163" s="23"/>
      <c r="H163" s="10"/>
      <c r="I163" s="24"/>
      <c r="J163" s="25"/>
    </row>
    <row r="164" spans="1:16">
      <c r="A164" s="87">
        <v>33</v>
      </c>
      <c r="B164" s="82">
        <f>B162+7</f>
        <v>43800</v>
      </c>
      <c r="C164" s="20">
        <f>D162+G162-H162</f>
        <v>6704.6159530966988</v>
      </c>
      <c r="D164" s="17">
        <f>C164+(C164*0.04)</f>
        <v>6972.8005912205672</v>
      </c>
      <c r="E164" s="17">
        <f>C164/3250</f>
        <v>2.0629587547989843</v>
      </c>
      <c r="F164" s="28">
        <f>(D164-C164)/E164</f>
        <v>130.0000000000002</v>
      </c>
      <c r="G164" s="18"/>
      <c r="H164" s="18"/>
      <c r="I164" s="19">
        <f>E164*50/C164</f>
        <v>1.5384615384615385E-2</v>
      </c>
      <c r="J164" s="18">
        <f>C164-(E164*1080)</f>
        <v>4476.6204979137956</v>
      </c>
    </row>
    <row r="165" spans="1:16">
      <c r="A165" s="88"/>
      <c r="B165" s="82">
        <f>B164+7</f>
        <v>43807</v>
      </c>
      <c r="C165" s="20">
        <f>D164+G164-H164</f>
        <v>6972.8005912205672</v>
      </c>
      <c r="D165" s="17">
        <f>C165+(C165*0.04)</f>
        <v>7251.7126148693897</v>
      </c>
      <c r="E165" s="17">
        <f>C165/3250</f>
        <v>2.1454771049909436</v>
      </c>
      <c r="F165" s="28">
        <f>(D165-C165)/E165</f>
        <v>129.99999999999991</v>
      </c>
      <c r="G165" s="18"/>
      <c r="H165" s="18"/>
      <c r="I165" s="19">
        <f>E165*50/C165</f>
        <v>1.5384615384615384E-2</v>
      </c>
      <c r="J165" s="18">
        <f>C165-(E165*1080)</f>
        <v>4655.6853178303481</v>
      </c>
      <c r="K165" s="31"/>
      <c r="L165" s="31"/>
    </row>
    <row r="166" spans="1:16">
      <c r="A166" s="88"/>
      <c r="B166" s="82">
        <f>B165+7</f>
        <v>43814</v>
      </c>
      <c r="C166" s="20">
        <f>D165+G165-H165</f>
        <v>7251.7126148693897</v>
      </c>
      <c r="D166" s="17">
        <f>C166+(C166*0.04)</f>
        <v>7541.7811194641654</v>
      </c>
      <c r="E166" s="17">
        <f>C166/3250</f>
        <v>2.2312961891905814</v>
      </c>
      <c r="F166" s="28">
        <f>(D166-C166)/E166</f>
        <v>130.00000000000006</v>
      </c>
      <c r="G166" s="18"/>
      <c r="H166" s="18"/>
      <c r="I166" s="19">
        <f>E166*50/C166</f>
        <v>1.5384615384615385E-2</v>
      </c>
      <c r="J166" s="18">
        <f>C166-(E166*1080)</f>
        <v>4841.9127305435613</v>
      </c>
      <c r="K166" s="31"/>
      <c r="L166" s="31"/>
    </row>
    <row r="167" spans="1:16" ht="13.5" thickBot="1">
      <c r="A167" s="89"/>
      <c r="B167" s="82">
        <f>B166+7</f>
        <v>43821</v>
      </c>
      <c r="C167" s="20">
        <f>D166+G166-H166</f>
        <v>7541.7811194641654</v>
      </c>
      <c r="D167" s="17">
        <f>C167+(C167*0.04)</f>
        <v>7843.4523642427321</v>
      </c>
      <c r="E167" s="17">
        <f>C167/3250</f>
        <v>2.3205480367582045</v>
      </c>
      <c r="F167" s="28">
        <f>(D167-C167)/E167</f>
        <v>130.00000000000003</v>
      </c>
      <c r="G167" s="81"/>
      <c r="H167" s="81">
        <f>(D167-C154)*0.35</f>
        <v>1030.5593056552266</v>
      </c>
      <c r="I167" s="19">
        <f>E167*50/C167</f>
        <v>1.5384615384615384E-2</v>
      </c>
      <c r="J167" s="18">
        <f>C167-(E167*1080)</f>
        <v>5035.5892397653042</v>
      </c>
      <c r="K167" s="90" t="s">
        <v>44</v>
      </c>
      <c r="L167" s="91"/>
      <c r="M167" s="91"/>
      <c r="N167" s="91"/>
      <c r="O167" s="91"/>
      <c r="P167" s="91"/>
    </row>
    <row r="168" spans="1:16" ht="13.5" thickBot="1">
      <c r="A168" s="79"/>
      <c r="B168" s="13"/>
      <c r="C168" s="22"/>
      <c r="D168" s="23"/>
      <c r="E168" s="23"/>
      <c r="F168" s="27"/>
      <c r="G168" s="23"/>
      <c r="H168" s="10"/>
      <c r="I168" s="24"/>
      <c r="J168" s="25"/>
    </row>
    <row r="169" spans="1:16">
      <c r="A169" s="87">
        <v>34</v>
      </c>
      <c r="B169" s="82">
        <f>B167+7</f>
        <v>43828</v>
      </c>
      <c r="C169" s="20">
        <f>D167+G167-H167</f>
        <v>6812.8930585875059</v>
      </c>
      <c r="D169" s="17">
        <f>C169+(C169*0.04)</f>
        <v>7085.4087809310058</v>
      </c>
      <c r="E169" s="17">
        <f>C169/3250</f>
        <v>2.0962747872576943</v>
      </c>
      <c r="F169" s="28">
        <f>(D169-C169)/E169</f>
        <v>129.9999999999998</v>
      </c>
      <c r="G169" s="18"/>
      <c r="H169" s="18"/>
      <c r="I169" s="19">
        <f>E169*50/C169</f>
        <v>1.5384615384615385E-2</v>
      </c>
      <c r="J169" s="18">
        <f>C169-(E169*1080)</f>
        <v>4548.9162883491954</v>
      </c>
    </row>
    <row r="170" spans="1:16">
      <c r="A170" s="88"/>
      <c r="B170" s="82">
        <f>B169+7</f>
        <v>43835</v>
      </c>
      <c r="C170" s="20">
        <f>D169+G169-H169</f>
        <v>7085.4087809310058</v>
      </c>
      <c r="D170" s="17">
        <f>C170+(C170*0.04)</f>
        <v>7368.8251321682465</v>
      </c>
      <c r="E170" s="17">
        <f>C170/3250</f>
        <v>2.180125778748002</v>
      </c>
      <c r="F170" s="28">
        <f>(D170-C170)/E170</f>
        <v>130.00000000000017</v>
      </c>
      <c r="G170" s="18"/>
      <c r="H170" s="18"/>
      <c r="I170" s="19">
        <f>E170*50/C170</f>
        <v>1.5384615384615385E-2</v>
      </c>
      <c r="J170" s="18">
        <f>C170-(E170*1080)</f>
        <v>4730.8729398831638</v>
      </c>
    </row>
    <row r="171" spans="1:16">
      <c r="A171" s="88"/>
      <c r="B171" s="82">
        <f>B170+7</f>
        <v>43842</v>
      </c>
      <c r="C171" s="20">
        <f>D170+G170-H170</f>
        <v>7368.8251321682465</v>
      </c>
      <c r="D171" s="17">
        <f>C171+(C171*0.04)</f>
        <v>7663.5781374549761</v>
      </c>
      <c r="E171" s="17">
        <f>C171/3250</f>
        <v>2.2673308098979219</v>
      </c>
      <c r="F171" s="28">
        <f>(D171-C171)/E171</f>
        <v>129.99999999999989</v>
      </c>
      <c r="G171" s="18"/>
      <c r="H171" s="18"/>
      <c r="I171" s="19">
        <f>E171*50/C171</f>
        <v>1.5384615384615385E-2</v>
      </c>
      <c r="J171" s="18">
        <f>C171-(E171*1080)</f>
        <v>4920.1078574784906</v>
      </c>
    </row>
    <row r="172" spans="1:16" ht="13.5" thickBot="1">
      <c r="A172" s="89"/>
      <c r="B172" s="82">
        <f>B171+7</f>
        <v>43849</v>
      </c>
      <c r="C172" s="20">
        <f>D171+G171-H171</f>
        <v>7663.5781374549761</v>
      </c>
      <c r="D172" s="17">
        <f>C172+(C172*0.04)</f>
        <v>7970.1212629531747</v>
      </c>
      <c r="E172" s="17">
        <f>C172/3250</f>
        <v>2.358024042293839</v>
      </c>
      <c r="F172" s="28">
        <f>(D172-C172)/E172</f>
        <v>129.9999999999998</v>
      </c>
      <c r="G172" s="81"/>
      <c r="H172" s="81"/>
      <c r="I172" s="19">
        <f>E172*50/C172</f>
        <v>1.5384615384615387E-2</v>
      </c>
      <c r="J172" s="18">
        <f>C172-(E172*1080)</f>
        <v>5116.9121717776297</v>
      </c>
      <c r="K172" s="95"/>
      <c r="L172" s="96"/>
      <c r="M172" s="96"/>
      <c r="N172" s="96"/>
      <c r="O172" s="96"/>
      <c r="P172" s="96"/>
    </row>
    <row r="173" spans="1:16" ht="13.5" thickBot="1">
      <c r="A173" s="79"/>
      <c r="B173" s="13"/>
      <c r="C173" s="22"/>
      <c r="D173" s="23"/>
      <c r="E173" s="23"/>
      <c r="F173" s="27"/>
      <c r="G173" s="23"/>
      <c r="H173" s="10"/>
      <c r="I173" s="24"/>
      <c r="J173" s="25"/>
    </row>
    <row r="174" spans="1:16">
      <c r="A174" s="87">
        <v>35</v>
      </c>
      <c r="B174" s="82">
        <f>B172+7</f>
        <v>43856</v>
      </c>
      <c r="C174" s="20">
        <f>D172+G172-H172</f>
        <v>7970.1212629531747</v>
      </c>
      <c r="D174" s="17">
        <f>C174+(C174*0.04)</f>
        <v>8288.9261134713015</v>
      </c>
      <c r="E174" s="17">
        <f>C174/3250</f>
        <v>2.4523450039855921</v>
      </c>
      <c r="F174" s="28">
        <f>(D174-C174)/E174</f>
        <v>129.99999999999994</v>
      </c>
      <c r="G174" s="18"/>
      <c r="H174" s="18"/>
      <c r="I174" s="19">
        <f>E174*50/C174</f>
        <v>1.5384615384615384E-2</v>
      </c>
      <c r="J174" s="18">
        <f>C174-(E174*1080)</f>
        <v>5321.5886586487359</v>
      </c>
    </row>
    <row r="175" spans="1:16">
      <c r="A175" s="88"/>
      <c r="B175" s="82">
        <f>B174+7</f>
        <v>43863</v>
      </c>
      <c r="C175" s="20">
        <f>D174+G174-H174</f>
        <v>8288.9261134713015</v>
      </c>
      <c r="D175" s="17">
        <f>C175+(C175*0.04)</f>
        <v>8620.4831580101527</v>
      </c>
      <c r="E175" s="17">
        <f>C175/3250</f>
        <v>2.5504388041450157</v>
      </c>
      <c r="F175" s="28">
        <f>(D175-C175)/E175</f>
        <v>129.99999999999966</v>
      </c>
      <c r="G175" s="18"/>
      <c r="H175" s="18"/>
      <c r="I175" s="19">
        <f>E175*50/C175</f>
        <v>1.5384615384615384E-2</v>
      </c>
      <c r="J175" s="18">
        <f>C175-(E175*1080)</f>
        <v>5534.4522049946845</v>
      </c>
    </row>
    <row r="176" spans="1:16">
      <c r="A176" s="88"/>
      <c r="B176" s="82">
        <f>B175+7</f>
        <v>43870</v>
      </c>
      <c r="C176" s="20">
        <f>D175+G175-H175</f>
        <v>8620.4831580101527</v>
      </c>
      <c r="D176" s="17">
        <f>C176+(C176*0.04)</f>
        <v>8965.3024843305593</v>
      </c>
      <c r="E176" s="17">
        <f>C176/3250</f>
        <v>2.6524563563108163</v>
      </c>
      <c r="F176" s="28">
        <f>(D176-C176)/E176</f>
        <v>130.0000000000002</v>
      </c>
      <c r="G176" s="18"/>
      <c r="H176" s="18"/>
      <c r="I176" s="19">
        <f>E176*50/C176</f>
        <v>1.5384615384615387E-2</v>
      </c>
      <c r="J176" s="18">
        <f>C176-(E176*1080)</f>
        <v>5755.8302931944709</v>
      </c>
    </row>
    <row r="177" spans="1:16" ht="13.5" thickBot="1">
      <c r="A177" s="89"/>
      <c r="B177" s="82">
        <f>B176+7</f>
        <v>43877</v>
      </c>
      <c r="C177" s="20">
        <f>D176+G176-H176</f>
        <v>8965.3024843305593</v>
      </c>
      <c r="D177" s="17">
        <f>C177+(C177*0.04)</f>
        <v>9323.9145837037813</v>
      </c>
      <c r="E177" s="17">
        <f>C177/3250</f>
        <v>2.758554610563249</v>
      </c>
      <c r="F177" s="28">
        <f>(D177-C177)/E177</f>
        <v>129.99999999999986</v>
      </c>
      <c r="G177" s="81"/>
      <c r="H177" s="81">
        <f>(D177-C169)*0.35</f>
        <v>878.85753379069638</v>
      </c>
      <c r="I177" s="19">
        <f>E177*50/C177</f>
        <v>1.5384615384615384E-2</v>
      </c>
      <c r="J177" s="18">
        <f>C177-(E177*1080)</f>
        <v>5986.063504922251</v>
      </c>
      <c r="K177" s="90" t="s">
        <v>44</v>
      </c>
      <c r="L177" s="91"/>
      <c r="M177" s="91"/>
      <c r="N177" s="91"/>
      <c r="O177" s="91"/>
      <c r="P177" s="91"/>
    </row>
    <row r="178" spans="1:16" ht="13.5" thickBot="1">
      <c r="A178" s="79"/>
      <c r="B178" s="13"/>
      <c r="C178" s="22"/>
      <c r="D178" s="23"/>
      <c r="E178" s="23"/>
      <c r="F178" s="27"/>
      <c r="G178" s="23"/>
      <c r="H178" s="10"/>
      <c r="I178" s="24"/>
      <c r="J178" s="25"/>
    </row>
  </sheetData>
  <mergeCells count="71"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A14:A17"/>
    <mergeCell ref="K17:P17"/>
    <mergeCell ref="B1:J1"/>
    <mergeCell ref="A4:A7"/>
    <mergeCell ref="K7:P7"/>
    <mergeCell ref="A9:A12"/>
    <mergeCell ref="K12:P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B4" sqref="B4"/>
    </sheetView>
  </sheetViews>
  <sheetFormatPr defaultRowHeight="12.75"/>
  <cols>
    <col min="1" max="1" width="9.5703125" style="75" bestFit="1" customWidth="1"/>
    <col min="2" max="2" width="9.7109375" style="76" bestFit="1" customWidth="1"/>
    <col min="3" max="3" width="10.85546875" style="76" bestFit="1" customWidth="1"/>
    <col min="4" max="4" width="15.7109375" style="76" bestFit="1" customWidth="1"/>
    <col min="5" max="5" width="7.85546875" style="76" bestFit="1" customWidth="1"/>
    <col min="6" max="6" width="6.28515625" style="76" bestFit="1" customWidth="1"/>
    <col min="7" max="7" width="8.7109375" style="76" bestFit="1" customWidth="1"/>
    <col min="8" max="8" width="9.5703125" style="76" bestFit="1" customWidth="1"/>
    <col min="9" max="9" width="9" style="76" bestFit="1" customWidth="1"/>
    <col min="10" max="10" width="10.85546875" style="76" bestFit="1" customWidth="1"/>
    <col min="11" max="16384" width="9.140625" style="76"/>
  </cols>
  <sheetData>
    <row r="1" spans="1:16" ht="13.5" thickBot="1">
      <c r="B1" s="92"/>
      <c r="C1" s="93"/>
      <c r="D1" s="93"/>
      <c r="E1" s="93"/>
      <c r="F1" s="93"/>
      <c r="G1" s="93"/>
      <c r="H1" s="93"/>
      <c r="I1" s="93"/>
      <c r="J1" s="94"/>
    </row>
    <row r="2" spans="1:16" ht="13.5" thickBot="1">
      <c r="A2" s="77" t="s">
        <v>41</v>
      </c>
      <c r="B2" s="3" t="s">
        <v>3</v>
      </c>
      <c r="C2" s="4" t="s">
        <v>47</v>
      </c>
      <c r="D2" s="5" t="s">
        <v>48</v>
      </c>
      <c r="E2" s="5" t="s">
        <v>49</v>
      </c>
      <c r="F2" s="5" t="s">
        <v>50</v>
      </c>
      <c r="G2" s="5" t="s">
        <v>6</v>
      </c>
      <c r="H2" s="5" t="s">
        <v>6</v>
      </c>
      <c r="I2" s="14" t="s">
        <v>42</v>
      </c>
      <c r="J2" s="14" t="s">
        <v>43</v>
      </c>
    </row>
    <row r="3" spans="1:16" ht="13.5" thickBot="1">
      <c r="A3" s="78"/>
      <c r="B3" s="3" t="s">
        <v>8</v>
      </c>
      <c r="C3" s="7" t="s">
        <v>9</v>
      </c>
      <c r="D3" s="8" t="s">
        <v>9</v>
      </c>
      <c r="E3" s="8" t="s">
        <v>17</v>
      </c>
      <c r="F3" s="8" t="s">
        <v>18</v>
      </c>
      <c r="G3" s="8" t="s">
        <v>10</v>
      </c>
      <c r="H3" s="8" t="s">
        <v>11</v>
      </c>
      <c r="I3" s="14" t="s">
        <v>19</v>
      </c>
      <c r="J3" s="14" t="s">
        <v>20</v>
      </c>
    </row>
    <row r="4" spans="1:16">
      <c r="A4" s="87">
        <v>1</v>
      </c>
      <c r="B4" s="82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18">
        <f>C4-(E4*1080)</f>
        <v>1335.3846153846152</v>
      </c>
    </row>
    <row r="5" spans="1:16">
      <c r="A5" s="88"/>
      <c r="B5" s="82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18">
        <f>C5-(E5*1080)</f>
        <v>1382.123076923077</v>
      </c>
    </row>
    <row r="6" spans="1:16">
      <c r="A6" s="88"/>
      <c r="B6" s="82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18">
        <f>C6-(E6*1080)</f>
        <v>1563.4576246153847</v>
      </c>
    </row>
    <row r="7" spans="1:16" ht="13.5" thickBot="1">
      <c r="A7" s="89"/>
      <c r="B7" s="82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18">
        <f>C7-(E7*1080)</f>
        <v>1585.3460313600001</v>
      </c>
      <c r="K7" s="95"/>
      <c r="L7" s="96"/>
      <c r="M7" s="96"/>
      <c r="N7" s="96"/>
      <c r="O7" s="96"/>
      <c r="P7" s="96"/>
    </row>
    <row r="8" spans="1:16" ht="13.5" thickBot="1">
      <c r="A8" s="79"/>
      <c r="B8" s="13"/>
      <c r="C8" s="22"/>
      <c r="D8" s="23"/>
      <c r="E8" s="23"/>
      <c r="F8" s="27"/>
      <c r="G8" s="23"/>
      <c r="H8" s="10"/>
      <c r="I8" s="24"/>
      <c r="J8" s="25"/>
    </row>
    <row r="9" spans="1:16">
      <c r="A9" s="87">
        <v>2</v>
      </c>
      <c r="B9" s="82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18">
        <f>C9-(E9*1080)</f>
        <v>1585.3460313600001</v>
      </c>
    </row>
    <row r="10" spans="1:16">
      <c r="A10" s="88"/>
      <c r="B10" s="82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18">
        <f>C10-(E10*1080)</f>
        <v>1609.1262218304</v>
      </c>
    </row>
    <row r="11" spans="1:16">
      <c r="A11" s="88"/>
      <c r="B11" s="82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18">
        <f>C11-(E11*1080)</f>
        <v>1696.0190378092416</v>
      </c>
    </row>
    <row r="12" spans="1:16" ht="13.5" thickBot="1">
      <c r="A12" s="89"/>
      <c r="B12" s="82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18">
        <f>C12-(E12*1080)</f>
        <v>1777.936757335428</v>
      </c>
      <c r="K12" s="95"/>
      <c r="L12" s="96"/>
      <c r="M12" s="96"/>
      <c r="N12" s="96"/>
      <c r="O12" s="96"/>
      <c r="P12" s="96"/>
    </row>
    <row r="13" spans="1:16" ht="13.5" thickBot="1">
      <c r="A13" s="79"/>
      <c r="B13" s="13"/>
      <c r="C13" s="22"/>
      <c r="D13" s="23"/>
      <c r="E13" s="23"/>
      <c r="F13" s="27"/>
      <c r="G13" s="23"/>
      <c r="H13" s="10"/>
      <c r="I13" s="24"/>
      <c r="J13" s="25"/>
    </row>
    <row r="14" spans="1:16">
      <c r="A14" s="87">
        <v>3</v>
      </c>
      <c r="B14" s="82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18">
        <f>C14-(E14*1080)</f>
        <v>1646.3694372926061</v>
      </c>
    </row>
    <row r="15" spans="1:16" ht="15">
      <c r="A15" s="88"/>
      <c r="B15" s="82">
        <f>B14+7</f>
        <v>42946</v>
      </c>
      <c r="C15" s="32">
        <f>D14+G14-H14</f>
        <v>2571.0486589222355</v>
      </c>
      <c r="D15" s="17">
        <f>C15+(C15*0.04)</f>
        <v>2673.8906052791249</v>
      </c>
      <c r="E15" s="17">
        <f>C15/3250</f>
        <v>0.7910918950529956</v>
      </c>
      <c r="F15" s="28">
        <f>(D15-C15)/E15</f>
        <v>129.99999999999991</v>
      </c>
      <c r="G15" s="18"/>
      <c r="H15" s="18"/>
      <c r="I15" s="19">
        <f>E15*50/C15</f>
        <v>1.5384615384615384E-2</v>
      </c>
      <c r="J15" s="18">
        <f>C15-(E15*1080)</f>
        <v>1716.6694122650001</v>
      </c>
    </row>
    <row r="16" spans="1:16">
      <c r="A16" s="88"/>
      <c r="B16" s="82">
        <f>B15+7</f>
        <v>42953</v>
      </c>
      <c r="C16" s="20">
        <f>D15+G15-H15</f>
        <v>2673.8906052791249</v>
      </c>
      <c r="D16" s="17">
        <f>C16+(C16*0.04)</f>
        <v>2780.8462294902897</v>
      </c>
      <c r="E16" s="17">
        <f>C16/3250</f>
        <v>0.82273557085511539</v>
      </c>
      <c r="F16" s="28">
        <f>(D16-C16)/E16</f>
        <v>129.9999999999998</v>
      </c>
      <c r="G16" s="18"/>
      <c r="H16" s="18"/>
      <c r="I16" s="19">
        <f>E16*50/C16</f>
        <v>1.5384615384615385E-2</v>
      </c>
      <c r="J16" s="18">
        <f>C16-(E16*1080)</f>
        <v>1785.3361887556002</v>
      </c>
    </row>
    <row r="17" spans="1:16" ht="13.5" thickBot="1">
      <c r="A17" s="89"/>
      <c r="B17" s="82">
        <f>B16+7</f>
        <v>42960</v>
      </c>
      <c r="C17" s="20">
        <f>D16+G16-H16</f>
        <v>2780.8462294902897</v>
      </c>
      <c r="D17" s="17">
        <f>C17+(C17*0.04)</f>
        <v>2892.0800786699015</v>
      </c>
      <c r="E17" s="17">
        <f>C17/3250</f>
        <v>0.8556449936893199</v>
      </c>
      <c r="F17" s="28">
        <f>(D17-C17)/E17</f>
        <v>130.0000000000002</v>
      </c>
      <c r="G17" s="18"/>
      <c r="H17" s="81">
        <f>(D17-C4)*0.3</f>
        <v>267.62402360097042</v>
      </c>
      <c r="I17" s="19">
        <f>E17*50/C17</f>
        <v>1.5384615384615384E-2</v>
      </c>
      <c r="J17" s="18">
        <f>C17-(E17*1080)</f>
        <v>1856.7496363058242</v>
      </c>
      <c r="K17" s="90" t="s">
        <v>45</v>
      </c>
      <c r="L17" s="91"/>
      <c r="M17" s="91"/>
      <c r="N17" s="91"/>
      <c r="O17" s="91"/>
      <c r="P17" s="91"/>
    </row>
    <row r="18" spans="1:16" ht="13.5" thickBot="1">
      <c r="A18" s="79"/>
      <c r="B18" s="13"/>
      <c r="C18" s="22"/>
      <c r="D18" s="23"/>
      <c r="E18" s="23"/>
      <c r="F18" s="27"/>
      <c r="G18" s="23"/>
      <c r="H18" s="10"/>
      <c r="I18" s="24"/>
      <c r="J18" s="25"/>
    </row>
    <row r="19" spans="1:16">
      <c r="A19" s="87">
        <v>4</v>
      </c>
      <c r="B19" s="82">
        <f>B17+7</f>
        <v>42967</v>
      </c>
      <c r="C19" s="20">
        <f>D17+G17-H17</f>
        <v>2624.4560550689312</v>
      </c>
      <c r="D19" s="17">
        <f>C19+(C19*0.04)</f>
        <v>2729.4342972716886</v>
      </c>
      <c r="E19" s="17">
        <f>C19/3250</f>
        <v>0.80752494002120956</v>
      </c>
      <c r="F19" s="28">
        <f>(D19-C19)/E19</f>
        <v>130.00000000000023</v>
      </c>
      <c r="G19" s="18"/>
      <c r="H19" s="18"/>
      <c r="I19" s="19">
        <f>E19*50/C19</f>
        <v>1.5384615384615384E-2</v>
      </c>
      <c r="J19" s="18">
        <f>C19-(E19*1080)</f>
        <v>1752.3291198460247</v>
      </c>
    </row>
    <row r="20" spans="1:16">
      <c r="A20" s="88"/>
      <c r="B20" s="82">
        <f>B19+7</f>
        <v>42974</v>
      </c>
      <c r="C20" s="20">
        <f>D19+G19-H19</f>
        <v>2729.4342972716886</v>
      </c>
      <c r="D20" s="17">
        <f>C20+(C20*0.04)</f>
        <v>2838.6116691625562</v>
      </c>
      <c r="E20" s="17">
        <f>C20/3250</f>
        <v>0.83982593762205804</v>
      </c>
      <c r="F20" s="28">
        <f>(D20-C20)/E20</f>
        <v>130.00000000000003</v>
      </c>
      <c r="G20" s="18"/>
      <c r="H20" s="18"/>
      <c r="I20" s="19">
        <f>E20*50/C20</f>
        <v>1.5384615384615385E-2</v>
      </c>
      <c r="J20" s="18">
        <f>C20-(E20*1080)</f>
        <v>1822.4222846398659</v>
      </c>
    </row>
    <row r="21" spans="1:16">
      <c r="A21" s="88"/>
      <c r="B21" s="82">
        <f>B20+7</f>
        <v>42981</v>
      </c>
      <c r="C21" s="20">
        <f>D20+G20-H20</f>
        <v>2838.6116691625562</v>
      </c>
      <c r="D21" s="17">
        <f>C21+(C21*0.04)</f>
        <v>2952.1561359290586</v>
      </c>
      <c r="E21" s="17">
        <f>C21/3250</f>
        <v>0.87341897512694033</v>
      </c>
      <c r="F21" s="28">
        <f>(D21-C21)/E21</f>
        <v>130.0000000000002</v>
      </c>
      <c r="G21" s="18"/>
      <c r="H21" s="18"/>
      <c r="I21" s="19">
        <f>E21*50/C21</f>
        <v>1.5384615384615384E-2</v>
      </c>
      <c r="J21" s="18">
        <f>C21-(E21*1080)</f>
        <v>1895.3191760254606</v>
      </c>
    </row>
    <row r="22" spans="1:16" ht="13.5" thickBot="1">
      <c r="A22" s="89"/>
      <c r="B22" s="82">
        <f>B21+7</f>
        <v>42988</v>
      </c>
      <c r="C22" s="20">
        <f>D21+G21-H21</f>
        <v>2952.1561359290586</v>
      </c>
      <c r="D22" s="17">
        <f>C22+(C22*0.04)</f>
        <v>3070.2423813662208</v>
      </c>
      <c r="E22" s="17">
        <f>C22/3250</f>
        <v>0.90835573413201798</v>
      </c>
      <c r="F22" s="28">
        <f>(D22-C22)/E22</f>
        <v>129.99999999999989</v>
      </c>
      <c r="G22" s="18"/>
      <c r="H22" s="18"/>
      <c r="I22" s="19">
        <f>E22*50/C22</f>
        <v>1.5384615384615384E-2</v>
      </c>
      <c r="J22" s="18">
        <f>C22-(E22*1080)</f>
        <v>1971.1319430664792</v>
      </c>
      <c r="K22" s="95"/>
      <c r="L22" s="96"/>
      <c r="M22" s="96"/>
      <c r="N22" s="96"/>
      <c r="O22" s="96"/>
      <c r="P22" s="96"/>
    </row>
    <row r="23" spans="1:16" ht="13.5" thickBot="1">
      <c r="A23" s="79"/>
      <c r="B23" s="13"/>
      <c r="C23" s="22"/>
      <c r="D23" s="23"/>
      <c r="E23" s="23"/>
      <c r="F23" s="27"/>
      <c r="G23" s="23"/>
      <c r="H23" s="10"/>
      <c r="I23" s="24"/>
      <c r="J23" s="25"/>
    </row>
    <row r="24" spans="1:16">
      <c r="A24" s="87">
        <v>5</v>
      </c>
      <c r="B24" s="82">
        <f>B22+7</f>
        <v>42995</v>
      </c>
      <c r="C24" s="20">
        <f>D22+G22-H22</f>
        <v>3070.2423813662208</v>
      </c>
      <c r="D24" s="17">
        <f>C24+(C24*0.04)</f>
        <v>3193.0520766208697</v>
      </c>
      <c r="E24" s="17">
        <f>C24/3250</f>
        <v>0.94468996349729872</v>
      </c>
      <c r="F24" s="28">
        <f>(D24-C24)/E24</f>
        <v>130.00000000000006</v>
      </c>
      <c r="G24" s="18"/>
      <c r="H24" s="18"/>
      <c r="I24" s="19">
        <f>E24*50/C24</f>
        <v>1.5384615384615385E-2</v>
      </c>
      <c r="J24" s="18">
        <f>C24-(E24*1080)</f>
        <v>2049.9772207891383</v>
      </c>
    </row>
    <row r="25" spans="1:16">
      <c r="A25" s="88"/>
      <c r="B25" s="82">
        <f>B24+7</f>
        <v>43002</v>
      </c>
      <c r="C25" s="20">
        <f>D24+G24-H24</f>
        <v>3193.0520766208697</v>
      </c>
      <c r="D25" s="17">
        <f>C25+(C25*0.04)</f>
        <v>3320.7741596857045</v>
      </c>
      <c r="E25" s="17">
        <f>C25/3250</f>
        <v>0.98247756203719072</v>
      </c>
      <c r="F25" s="28">
        <f>(D25-C25)/E25</f>
        <v>130</v>
      </c>
      <c r="G25" s="18"/>
      <c r="H25" s="18"/>
      <c r="I25" s="19">
        <f>E25*50/C25</f>
        <v>1.5384615384615385E-2</v>
      </c>
      <c r="J25" s="18">
        <f>C25-(E25*1080)</f>
        <v>2131.9763096207034</v>
      </c>
    </row>
    <row r="26" spans="1:16">
      <c r="A26" s="88"/>
      <c r="B26" s="82">
        <f>B25+7</f>
        <v>43009</v>
      </c>
      <c r="C26" s="20">
        <f>D25+G25-H25</f>
        <v>3320.7741596857045</v>
      </c>
      <c r="D26" s="17">
        <f>C26+(C26*0.04)</f>
        <v>3453.6051260731329</v>
      </c>
      <c r="E26" s="17">
        <f>C26/3250</f>
        <v>1.0217766645186783</v>
      </c>
      <c r="F26" s="28">
        <f>(D26-C26)/E26</f>
        <v>130.00000000000017</v>
      </c>
      <c r="G26" s="18"/>
      <c r="H26" s="18"/>
      <c r="I26" s="19">
        <f>E26*50/C26</f>
        <v>1.5384615384615385E-2</v>
      </c>
      <c r="J26" s="18">
        <f>C26-(E26*1080)</f>
        <v>2217.2553620055319</v>
      </c>
    </row>
    <row r="27" spans="1:16" ht="13.5" thickBot="1">
      <c r="A27" s="89"/>
      <c r="B27" s="82">
        <f>B26+7</f>
        <v>43016</v>
      </c>
      <c r="C27" s="20">
        <f>D26+G26-H26</f>
        <v>3453.6051260731329</v>
      </c>
      <c r="D27" s="17">
        <f>C27+(C27*0.04)</f>
        <v>3591.7493311160583</v>
      </c>
      <c r="E27" s="17">
        <f>C27/3250</f>
        <v>1.0626477310994256</v>
      </c>
      <c r="F27" s="28">
        <f>(D27-C27)/E27</f>
        <v>130.00000000000014</v>
      </c>
      <c r="G27" s="18"/>
      <c r="H27" s="18"/>
      <c r="I27" s="19">
        <f>E27*50/C27</f>
        <v>1.5384615384615385E-2</v>
      </c>
      <c r="J27" s="18">
        <f>C27-(E27*1080)</f>
        <v>2305.945576485753</v>
      </c>
      <c r="K27" s="95"/>
      <c r="L27" s="96"/>
      <c r="M27" s="96"/>
      <c r="N27" s="96"/>
      <c r="O27" s="96"/>
      <c r="P27" s="96"/>
    </row>
    <row r="28" spans="1:16" ht="13.5" thickBot="1">
      <c r="A28" s="79"/>
      <c r="B28" s="13"/>
      <c r="C28" s="22"/>
      <c r="D28" s="23"/>
      <c r="E28" s="23"/>
      <c r="F28" s="27"/>
      <c r="G28" s="23"/>
      <c r="H28" s="10"/>
      <c r="I28" s="24"/>
      <c r="J28" s="25"/>
    </row>
    <row r="29" spans="1:16">
      <c r="A29" s="87">
        <v>6</v>
      </c>
      <c r="B29" s="82">
        <f>B27+7</f>
        <v>43023</v>
      </c>
      <c r="C29" s="20">
        <f>D27+G27-H27</f>
        <v>3591.7493311160583</v>
      </c>
      <c r="D29" s="17">
        <f>C29+(C29*0.04)</f>
        <v>3735.4193043607006</v>
      </c>
      <c r="E29" s="17">
        <f>C29/3250</f>
        <v>1.1051536403434026</v>
      </c>
      <c r="F29" s="28">
        <f>(D29-C29)/E29</f>
        <v>129.99999999999994</v>
      </c>
      <c r="G29" s="18"/>
      <c r="H29" s="18"/>
      <c r="I29" s="19">
        <f>E29*50/C29</f>
        <v>1.5384615384615384E-2</v>
      </c>
      <c r="J29" s="18">
        <f>C29-(E29*1080)</f>
        <v>2398.1833995451834</v>
      </c>
    </row>
    <row r="30" spans="1:16">
      <c r="A30" s="88"/>
      <c r="B30" s="82">
        <f>B29+7</f>
        <v>43030</v>
      </c>
      <c r="C30" s="20">
        <f>D29+G29-H29</f>
        <v>3735.4193043607006</v>
      </c>
      <c r="D30" s="17">
        <f>C30+(C30*0.04)</f>
        <v>3884.8360765351285</v>
      </c>
      <c r="E30" s="17">
        <f>C30/3250</f>
        <v>1.1493597859571387</v>
      </c>
      <c r="F30" s="28">
        <f>(D30-C30)/E30</f>
        <v>129.99999999999991</v>
      </c>
      <c r="G30" s="18"/>
      <c r="H30" s="18"/>
      <c r="I30" s="19">
        <f>E30*50/C30</f>
        <v>1.5384615384615385E-2</v>
      </c>
      <c r="J30" s="18">
        <f>C30-(E30*1080)</f>
        <v>2494.1107355269905</v>
      </c>
    </row>
    <row r="31" spans="1:16">
      <c r="A31" s="88"/>
      <c r="B31" s="82">
        <f>B30+7</f>
        <v>43037</v>
      </c>
      <c r="C31" s="20">
        <f>D30+G30-H30</f>
        <v>3884.8360765351285</v>
      </c>
      <c r="D31" s="17">
        <f>C31+(C31*0.04)</f>
        <v>4040.2295195965335</v>
      </c>
      <c r="E31" s="17">
        <f>C31/3250</f>
        <v>1.1953341773954242</v>
      </c>
      <c r="F31" s="28">
        <f>(D31-C31)/E31</f>
        <v>129.9999999999998</v>
      </c>
      <c r="G31" s="18"/>
      <c r="H31" s="18"/>
      <c r="I31" s="19">
        <f>E31*50/C31</f>
        <v>1.5384615384615385E-2</v>
      </c>
      <c r="J31" s="18">
        <f>C31-(E31*1080)</f>
        <v>2593.8751649480701</v>
      </c>
    </row>
    <row r="32" spans="1:16" ht="13.5" thickBot="1">
      <c r="A32" s="89"/>
      <c r="B32" s="82">
        <f>B31+7</f>
        <v>43044</v>
      </c>
      <c r="C32" s="20">
        <f>D31+G31-H31</f>
        <v>4040.2295195965335</v>
      </c>
      <c r="D32" s="17">
        <f>C32+(C32*0.04)</f>
        <v>4201.8387003803946</v>
      </c>
      <c r="E32" s="17">
        <f>C32/3250</f>
        <v>1.243147544491241</v>
      </c>
      <c r="F32" s="28">
        <f>(D32-C32)/E32</f>
        <v>129.99999999999983</v>
      </c>
      <c r="G32" s="18"/>
      <c r="H32" s="81">
        <f>(D32-C19)*0.35</f>
        <v>552.0839258590122</v>
      </c>
      <c r="I32" s="19">
        <f>E32*50/C32</f>
        <v>1.5384615384615384E-2</v>
      </c>
      <c r="J32" s="18">
        <f>C32-(E32*1080)</f>
        <v>2697.6301715459931</v>
      </c>
      <c r="K32" s="90" t="s">
        <v>44</v>
      </c>
      <c r="L32" s="91"/>
      <c r="M32" s="91"/>
      <c r="N32" s="91"/>
      <c r="O32" s="91"/>
      <c r="P32" s="91"/>
    </row>
    <row r="33" spans="1:16" ht="13.5" thickBot="1">
      <c r="A33" s="79"/>
      <c r="B33" s="13"/>
      <c r="C33" s="22"/>
      <c r="D33" s="23"/>
      <c r="E33" s="23"/>
      <c r="F33" s="27"/>
      <c r="G33" s="23"/>
      <c r="H33" s="10"/>
      <c r="I33" s="24"/>
      <c r="J33" s="25"/>
    </row>
    <row r="34" spans="1:16">
      <c r="A34" s="87">
        <v>7</v>
      </c>
      <c r="B34" s="82">
        <f>B32+7</f>
        <v>43051</v>
      </c>
      <c r="C34" s="20">
        <f>D32+G32-H32</f>
        <v>3649.7547745213824</v>
      </c>
      <c r="D34" s="17">
        <f>C34+(C34*0.04)</f>
        <v>3795.7449655022378</v>
      </c>
      <c r="E34" s="17">
        <f>C34/3250</f>
        <v>1.1230014690835022</v>
      </c>
      <c r="F34" s="28">
        <f>(D34-C34)/E34</f>
        <v>130.00000000000017</v>
      </c>
      <c r="G34" s="18"/>
      <c r="H34" s="18"/>
      <c r="I34" s="19">
        <f>E34*50/C34</f>
        <v>1.5384615384615382E-2</v>
      </c>
      <c r="J34" s="18">
        <f>C34-(E34*1080)</f>
        <v>2436.9131879112001</v>
      </c>
    </row>
    <row r="35" spans="1:16">
      <c r="A35" s="88"/>
      <c r="B35" s="82">
        <f>B34+7</f>
        <v>43058</v>
      </c>
      <c r="C35" s="20">
        <f>D34+G34-H34</f>
        <v>3795.7449655022378</v>
      </c>
      <c r="D35" s="17">
        <f>C35+(C35*0.04)</f>
        <v>3947.5747641223275</v>
      </c>
      <c r="E35" s="17">
        <f>C35/3250</f>
        <v>1.1679215278468424</v>
      </c>
      <c r="F35" s="28">
        <f>(D35-C35)/E35</f>
        <v>130.00000000000009</v>
      </c>
      <c r="G35" s="18"/>
      <c r="H35" s="18"/>
      <c r="I35" s="19">
        <f>E35*50/C35</f>
        <v>1.5384615384615385E-2</v>
      </c>
      <c r="J35" s="18">
        <f>C35-(E35*1080)</f>
        <v>2534.3897154276483</v>
      </c>
    </row>
    <row r="36" spans="1:16">
      <c r="A36" s="88"/>
      <c r="B36" s="82">
        <f>B35+7</f>
        <v>43065</v>
      </c>
      <c r="C36" s="20">
        <f>D35+G35-H35</f>
        <v>3947.5747641223275</v>
      </c>
      <c r="D36" s="17">
        <f>C36+(C36*0.04)</f>
        <v>4105.4777546872201</v>
      </c>
      <c r="E36" s="17">
        <f>C36/3250</f>
        <v>1.2146383889607162</v>
      </c>
      <c r="F36" s="28">
        <f>(D36-C36)/E36</f>
        <v>129.99999999999963</v>
      </c>
      <c r="G36" s="18"/>
      <c r="H36" s="18"/>
      <c r="I36" s="19">
        <f>E36*50/C36</f>
        <v>1.5384615384615385E-2</v>
      </c>
      <c r="J36" s="18">
        <f>C36-(E36*1080)</f>
        <v>2635.765304044754</v>
      </c>
    </row>
    <row r="37" spans="1:16" ht="13.5" thickBot="1">
      <c r="A37" s="89"/>
      <c r="B37" s="82">
        <f>B36+7</f>
        <v>43072</v>
      </c>
      <c r="C37" s="20">
        <f>D36+G36-H36</f>
        <v>4105.4777546872201</v>
      </c>
      <c r="D37" s="17">
        <f>C37+(C37*0.04)</f>
        <v>4269.6968648747088</v>
      </c>
      <c r="E37" s="17">
        <f>C37/3250</f>
        <v>1.2632239245191446</v>
      </c>
      <c r="F37" s="28">
        <f>(D37-C37)/E37</f>
        <v>129.99999999999991</v>
      </c>
      <c r="G37" s="81"/>
      <c r="H37" s="81"/>
      <c r="I37" s="19">
        <f>E37*50/C37</f>
        <v>1.5384615384615384E-2</v>
      </c>
      <c r="J37" s="18">
        <f>C37-(E37*1080)</f>
        <v>2741.1959162065441</v>
      </c>
      <c r="K37" s="95"/>
      <c r="L37" s="96"/>
      <c r="M37" s="96"/>
      <c r="N37" s="96"/>
      <c r="O37" s="96"/>
      <c r="P37" s="96"/>
    </row>
    <row r="38" spans="1:16" ht="13.5" thickBot="1">
      <c r="A38" s="79"/>
      <c r="B38" s="13"/>
      <c r="C38" s="22"/>
      <c r="D38" s="23"/>
      <c r="E38" s="23"/>
      <c r="F38" s="27"/>
      <c r="G38" s="23"/>
      <c r="H38" s="10"/>
      <c r="I38" s="24"/>
      <c r="J38" s="25"/>
    </row>
    <row r="39" spans="1:16">
      <c r="A39" s="87">
        <v>8</v>
      </c>
      <c r="B39" s="82">
        <f>B37+7</f>
        <v>43079</v>
      </c>
      <c r="C39" s="20">
        <f>D37+G37-H37</f>
        <v>4269.6968648747088</v>
      </c>
      <c r="D39" s="17">
        <f>C39+(C39*0.04)</f>
        <v>4440.4847394696972</v>
      </c>
      <c r="E39" s="17">
        <f>C39/3250</f>
        <v>1.3137528814999104</v>
      </c>
      <c r="F39" s="28">
        <f>(D39-C39)/E39</f>
        <v>130</v>
      </c>
      <c r="G39" s="18"/>
      <c r="H39" s="18"/>
      <c r="I39" s="19">
        <f>E39*50/C39</f>
        <v>1.5384615384615384E-2</v>
      </c>
      <c r="J39" s="18">
        <f>C39-(E39*1080)</f>
        <v>2850.8437528548056</v>
      </c>
    </row>
    <row r="40" spans="1:16">
      <c r="A40" s="88"/>
      <c r="B40" s="82">
        <f>B39+7</f>
        <v>43086</v>
      </c>
      <c r="C40" s="20">
        <f>D39+G39-H39</f>
        <v>4440.4847394696972</v>
      </c>
      <c r="D40" s="17">
        <f>C40+(C40*0.04)</f>
        <v>4618.1041290484854</v>
      </c>
      <c r="E40" s="17">
        <f>C40/3250</f>
        <v>1.3663029967599067</v>
      </c>
      <c r="F40" s="28">
        <f>(D40-C40)/E40</f>
        <v>130.00000000000031</v>
      </c>
      <c r="G40" s="18"/>
      <c r="H40" s="18"/>
      <c r="I40" s="19">
        <f>E40*50/C40</f>
        <v>1.5384615384615384E-2</v>
      </c>
      <c r="J40" s="18">
        <f>C40-(E40*1080)</f>
        <v>2964.8775029689978</v>
      </c>
    </row>
    <row r="41" spans="1:16">
      <c r="A41" s="88"/>
      <c r="B41" s="82">
        <f>B40+7</f>
        <v>43093</v>
      </c>
      <c r="C41" s="20">
        <f>D40+G40-H40</f>
        <v>4618.1041290484854</v>
      </c>
      <c r="D41" s="17">
        <f>C41+(C41*0.04)</f>
        <v>4802.8282942104252</v>
      </c>
      <c r="E41" s="17">
        <f>C41/3250</f>
        <v>1.4209551166303032</v>
      </c>
      <c r="F41" s="28">
        <f>(D41-C41)/E41</f>
        <v>130.0000000000002</v>
      </c>
      <c r="G41" s="18"/>
      <c r="H41" s="18"/>
      <c r="I41" s="19">
        <f>E41*50/C41</f>
        <v>1.5384615384615385E-2</v>
      </c>
      <c r="J41" s="18">
        <f>C41-(E41*1080)</f>
        <v>3083.4726030877582</v>
      </c>
    </row>
    <row r="42" spans="1:16" ht="13.5" thickBot="1">
      <c r="A42" s="89"/>
      <c r="B42" s="82">
        <f>B41+7</f>
        <v>43100</v>
      </c>
      <c r="C42" s="20">
        <f>D41+G41-H41</f>
        <v>4802.8282942104252</v>
      </c>
      <c r="D42" s="17">
        <f>C42+(C42*0.04)</f>
        <v>4994.9414259788418</v>
      </c>
      <c r="E42" s="17">
        <f>C42/3250</f>
        <v>1.4777933212955154</v>
      </c>
      <c r="F42" s="28">
        <f>(D42-C42)/E42</f>
        <v>129.99999999999977</v>
      </c>
      <c r="G42" s="81"/>
      <c r="H42" s="81"/>
      <c r="I42" s="19">
        <f>E42*50/C42</f>
        <v>1.5384615384615384E-2</v>
      </c>
      <c r="J42" s="18">
        <f>C42-(E42*1080)</f>
        <v>3206.8115072112687</v>
      </c>
      <c r="K42" s="95"/>
      <c r="L42" s="96"/>
      <c r="M42" s="96"/>
      <c r="N42" s="96"/>
      <c r="O42" s="96"/>
      <c r="P42" s="96"/>
    </row>
    <row r="43" spans="1:16" ht="13.5" thickBot="1">
      <c r="A43" s="79"/>
      <c r="B43" s="13"/>
      <c r="C43" s="22"/>
      <c r="D43" s="23"/>
      <c r="E43" s="23"/>
      <c r="F43" s="27"/>
      <c r="G43" s="23"/>
      <c r="H43" s="10"/>
      <c r="I43" s="24"/>
      <c r="J43" s="25"/>
    </row>
    <row r="44" spans="1:16">
      <c r="A44" s="87">
        <v>9</v>
      </c>
      <c r="B44" s="82">
        <f>B42+7</f>
        <v>43107</v>
      </c>
      <c r="C44" s="20">
        <f>D42+G42-H42</f>
        <v>4994.9414259788418</v>
      </c>
      <c r="D44" s="17">
        <f>C44+(C44*0.04)</f>
        <v>5194.7390830179957</v>
      </c>
      <c r="E44" s="17">
        <f>C44/3250</f>
        <v>1.5369050541473359</v>
      </c>
      <c r="F44" s="28">
        <f>(D44-C44)/E44</f>
        <v>130.00000000000009</v>
      </c>
      <c r="G44" s="18"/>
      <c r="H44" s="18"/>
      <c r="I44" s="19">
        <f>E44*50/C44</f>
        <v>1.5384615384615384E-2</v>
      </c>
      <c r="J44" s="18">
        <f>C44-(E44*1080)</f>
        <v>3335.0839674997187</v>
      </c>
    </row>
    <row r="45" spans="1:16">
      <c r="A45" s="88"/>
      <c r="B45" s="82">
        <f>B44+7</f>
        <v>43114</v>
      </c>
      <c r="C45" s="20">
        <f>D44+G44-H44</f>
        <v>5194.7390830179957</v>
      </c>
      <c r="D45" s="17">
        <f>C45+(C45*0.04)</f>
        <v>5402.5286463387156</v>
      </c>
      <c r="E45" s="17">
        <f>C45/3250</f>
        <v>1.5983812563132294</v>
      </c>
      <c r="F45" s="28">
        <f>(D45-C45)/E45</f>
        <v>130.00000000000009</v>
      </c>
      <c r="G45" s="18"/>
      <c r="H45" s="18"/>
      <c r="I45" s="19">
        <f>E45*50/C45</f>
        <v>1.5384615384615382E-2</v>
      </c>
      <c r="J45" s="18">
        <f>C45-(E45*1080)</f>
        <v>3468.4873261997081</v>
      </c>
    </row>
    <row r="46" spans="1:16">
      <c r="A46" s="88"/>
      <c r="B46" s="82">
        <f>B45+7</f>
        <v>43121</v>
      </c>
      <c r="C46" s="20">
        <f>D45+G45-H45</f>
        <v>5402.5286463387156</v>
      </c>
      <c r="D46" s="17">
        <f>C46+(C46*0.04)</f>
        <v>5618.6297921922642</v>
      </c>
      <c r="E46" s="17">
        <f>C46/3250</f>
        <v>1.6623165065657586</v>
      </c>
      <c r="F46" s="28">
        <f>(D46-C46)/E46</f>
        <v>129.99999999999997</v>
      </c>
      <c r="G46" s="18"/>
      <c r="H46" s="18"/>
      <c r="I46" s="19">
        <f>E46*50/C46</f>
        <v>1.5384615384615384E-2</v>
      </c>
      <c r="J46" s="18">
        <f>C46-(E46*1080)</f>
        <v>3607.2268192476963</v>
      </c>
    </row>
    <row r="47" spans="1:16" ht="13.5" thickBot="1">
      <c r="A47" s="89"/>
      <c r="B47" s="82">
        <f>B46+7</f>
        <v>43128</v>
      </c>
      <c r="C47" s="20">
        <f>D46+G46-H46</f>
        <v>5618.6297921922642</v>
      </c>
      <c r="D47" s="17">
        <f>C47+(C47*0.04)</f>
        <v>5843.3749838799549</v>
      </c>
      <c r="E47" s="17">
        <f>C47/3250</f>
        <v>1.7288091668283889</v>
      </c>
      <c r="F47" s="28">
        <f>(D47-C47)/E47</f>
        <v>130.00000000000011</v>
      </c>
      <c r="G47" s="81"/>
      <c r="H47" s="81">
        <f>(D47-C34)*0.35</f>
        <v>767.76707327550037</v>
      </c>
      <c r="I47" s="19">
        <f>E47*50/C47</f>
        <v>1.5384615384615384E-2</v>
      </c>
      <c r="J47" s="18">
        <f>C47-(E47*1080)</f>
        <v>3751.5158920176041</v>
      </c>
      <c r="K47" s="90" t="s">
        <v>44</v>
      </c>
      <c r="L47" s="91"/>
      <c r="M47" s="91"/>
      <c r="N47" s="91"/>
      <c r="O47" s="91"/>
      <c r="P47" s="91"/>
    </row>
    <row r="48" spans="1:16" ht="13.5" thickBot="1">
      <c r="A48" s="79"/>
      <c r="B48" s="13"/>
      <c r="C48" s="22"/>
      <c r="D48" s="23"/>
      <c r="E48" s="23"/>
      <c r="F48" s="27"/>
      <c r="G48" s="23"/>
      <c r="H48" s="10"/>
      <c r="I48" s="24"/>
      <c r="J48" s="25"/>
    </row>
    <row r="49" spans="1:16">
      <c r="A49" s="87">
        <v>10</v>
      </c>
      <c r="B49" s="82">
        <f>B47+7</f>
        <v>43135</v>
      </c>
      <c r="C49" s="20">
        <f>D47+G47-H47</f>
        <v>5075.6079106044544</v>
      </c>
      <c r="D49" s="17">
        <f>C49+(C49*0.04)</f>
        <v>5278.6322270286328</v>
      </c>
      <c r="E49" s="17">
        <f>C49/3250</f>
        <v>1.5617255109552168</v>
      </c>
      <c r="F49" s="28">
        <f>(D49-C49)/E49</f>
        <v>130.00000000000009</v>
      </c>
      <c r="G49" s="18"/>
      <c r="H49" s="18"/>
      <c r="I49" s="19">
        <f>E49*50/C49</f>
        <v>1.5384615384615384E-2</v>
      </c>
      <c r="J49" s="18">
        <f>C49-(E49*1080)</f>
        <v>3388.9443587728201</v>
      </c>
    </row>
    <row r="50" spans="1:16">
      <c r="A50" s="88"/>
      <c r="B50" s="82">
        <f>B49+7</f>
        <v>43142</v>
      </c>
      <c r="C50" s="20">
        <f>D49+G49-H49</f>
        <v>5278.6322270286328</v>
      </c>
      <c r="D50" s="17">
        <f>C50+(C50*0.04)</f>
        <v>5489.7775161097779</v>
      </c>
      <c r="E50" s="17">
        <f>C50/3250</f>
        <v>1.6241945313934254</v>
      </c>
      <c r="F50" s="28">
        <f>(D50-C50)/E50</f>
        <v>129.99999999999991</v>
      </c>
      <c r="G50" s="18"/>
      <c r="H50" s="18"/>
      <c r="I50" s="19">
        <f>E50*50/C50</f>
        <v>1.5384615384615385E-2</v>
      </c>
      <c r="J50" s="18">
        <f>C50-(E50*1080)</f>
        <v>3524.5021331237331</v>
      </c>
    </row>
    <row r="51" spans="1:16">
      <c r="A51" s="88"/>
      <c r="B51" s="82">
        <f>B50+7</f>
        <v>43149</v>
      </c>
      <c r="C51" s="20">
        <f>D50+G50-H50</f>
        <v>5489.7775161097779</v>
      </c>
      <c r="D51" s="17">
        <f>C51+(C51*0.04)</f>
        <v>5709.3686167541691</v>
      </c>
      <c r="E51" s="17">
        <f>C51/3250</f>
        <v>1.6891623126491624</v>
      </c>
      <c r="F51" s="28">
        <f>(D51-C51)/E51</f>
        <v>130.00000000000006</v>
      </c>
      <c r="G51" s="18"/>
      <c r="H51" s="18"/>
      <c r="I51" s="19">
        <f>E51*50/C51</f>
        <v>1.5384615384615384E-2</v>
      </c>
      <c r="J51" s="18">
        <f>C51-(E51*1080)</f>
        <v>3665.4822184486825</v>
      </c>
    </row>
    <row r="52" spans="1:16" ht="13.5" thickBot="1">
      <c r="A52" s="89"/>
      <c r="B52" s="82">
        <f>B51+7</f>
        <v>43156</v>
      </c>
      <c r="C52" s="20">
        <f>D51+G51-H51</f>
        <v>5709.3686167541691</v>
      </c>
      <c r="D52" s="17">
        <f>C52+(C52*0.04)</f>
        <v>5937.7433614243355</v>
      </c>
      <c r="E52" s="17">
        <f>C52/3250</f>
        <v>1.7567288051551289</v>
      </c>
      <c r="F52" s="28">
        <f>(D52-C52)/E52</f>
        <v>129.99999999999977</v>
      </c>
      <c r="G52" s="81"/>
      <c r="H52" s="81"/>
      <c r="I52" s="19">
        <f>E52*50/C52</f>
        <v>1.5384615384615382E-2</v>
      </c>
      <c r="J52" s="18">
        <f>C52-(E52*1080)</f>
        <v>3812.10150718663</v>
      </c>
      <c r="K52" s="95"/>
      <c r="L52" s="96"/>
      <c r="M52" s="96"/>
      <c r="N52" s="96"/>
      <c r="O52" s="96"/>
      <c r="P52" s="96"/>
    </row>
    <row r="53" spans="1:16" ht="13.5" thickBot="1">
      <c r="A53" s="79"/>
      <c r="B53" s="13"/>
      <c r="C53" s="22"/>
      <c r="D53" s="23"/>
      <c r="E53" s="23"/>
      <c r="F53" s="27"/>
      <c r="G53" s="23"/>
      <c r="H53" s="10"/>
      <c r="I53" s="24"/>
      <c r="J53" s="25"/>
    </row>
    <row r="54" spans="1:16">
      <c r="A54" s="87">
        <v>11</v>
      </c>
      <c r="B54" s="82">
        <f>B52+7</f>
        <v>43163</v>
      </c>
      <c r="C54" s="20">
        <f>D52+G52-H52</f>
        <v>5937.7433614243355</v>
      </c>
      <c r="D54" s="17">
        <f>C54+(C54*0.04)</f>
        <v>6175.2530958813086</v>
      </c>
      <c r="E54" s="17">
        <f>C54/3250</f>
        <v>1.826997957361334</v>
      </c>
      <c r="F54" s="28">
        <f>(D54-C54)/E54</f>
        <v>129.99999999999983</v>
      </c>
      <c r="G54" s="18"/>
      <c r="H54" s="18"/>
      <c r="I54" s="19">
        <f>E54*50/C54</f>
        <v>1.5384615384615385E-2</v>
      </c>
      <c r="J54" s="18">
        <f>C54-(E54*1080)</f>
        <v>3964.5855674740951</v>
      </c>
    </row>
    <row r="55" spans="1:16">
      <c r="A55" s="88"/>
      <c r="B55" s="82">
        <f>B54+7</f>
        <v>43170</v>
      </c>
      <c r="C55" s="20">
        <f>D54+G54-H54</f>
        <v>6175.2530958813086</v>
      </c>
      <c r="D55" s="17">
        <f>C55+(C55*0.04)</f>
        <v>6422.2632197165613</v>
      </c>
      <c r="E55" s="17">
        <f>C55/3250</f>
        <v>1.9000778756557872</v>
      </c>
      <c r="F55" s="28">
        <f>(D55-C55)/E55</f>
        <v>130.00000000000017</v>
      </c>
      <c r="G55" s="18"/>
      <c r="H55" s="18"/>
      <c r="I55" s="19">
        <f>E55*50/C55</f>
        <v>1.5384615384615384E-2</v>
      </c>
      <c r="J55" s="18">
        <f>C55-(E55*1080)</f>
        <v>4123.1689901730588</v>
      </c>
    </row>
    <row r="56" spans="1:16">
      <c r="A56" s="88"/>
      <c r="B56" s="82">
        <f>B55+7</f>
        <v>43177</v>
      </c>
      <c r="C56" s="20">
        <f>D55+G55-H55</f>
        <v>6422.2632197165613</v>
      </c>
      <c r="D56" s="17">
        <f>C56+(C56*0.04)</f>
        <v>6679.153748505224</v>
      </c>
      <c r="E56" s="17">
        <f>C56/3250</f>
        <v>1.9760809906820189</v>
      </c>
      <c r="F56" s="28">
        <f>(D56-C56)/E56</f>
        <v>130.00000000000017</v>
      </c>
      <c r="G56" s="18"/>
      <c r="H56" s="18"/>
      <c r="I56" s="19">
        <f>E56*50/C56</f>
        <v>1.5384615384615384E-2</v>
      </c>
      <c r="J56" s="18">
        <f>C56-(E56*1080)</f>
        <v>4288.0957497799809</v>
      </c>
    </row>
    <row r="57" spans="1:16" ht="13.5" thickBot="1">
      <c r="A57" s="89"/>
      <c r="B57" s="82">
        <f>B56+7</f>
        <v>43184</v>
      </c>
      <c r="C57" s="20">
        <f>D56+G56-H56</f>
        <v>6679.153748505224</v>
      </c>
      <c r="D57" s="17">
        <f>C57+(C57*0.04)</f>
        <v>6946.319898445433</v>
      </c>
      <c r="E57" s="17">
        <f>C57/3250</f>
        <v>2.0551242303092998</v>
      </c>
      <c r="F57" s="28">
        <f>(D57-C57)/E57</f>
        <v>129.99999999999997</v>
      </c>
      <c r="G57" s="81"/>
      <c r="H57" s="81"/>
      <c r="I57" s="19">
        <f>E57*50/C57</f>
        <v>1.5384615384615387E-2</v>
      </c>
      <c r="J57" s="18">
        <f>C57-(E57*1080)</f>
        <v>4459.6195797711807</v>
      </c>
      <c r="K57" s="95"/>
      <c r="L57" s="96"/>
      <c r="M57" s="96"/>
      <c r="N57" s="96"/>
      <c r="O57" s="96"/>
      <c r="P57" s="96"/>
    </row>
    <row r="58" spans="1:16" ht="13.5" thickBot="1">
      <c r="A58" s="79"/>
      <c r="B58" s="13"/>
      <c r="C58" s="22"/>
      <c r="D58" s="23"/>
      <c r="E58" s="23"/>
      <c r="F58" s="27"/>
      <c r="G58" s="23"/>
      <c r="H58" s="10"/>
      <c r="I58" s="24"/>
      <c r="J58" s="25"/>
    </row>
    <row r="59" spans="1:16">
      <c r="A59" s="87">
        <v>12</v>
      </c>
      <c r="B59" s="82">
        <f>B57+7</f>
        <v>43191</v>
      </c>
      <c r="C59" s="20">
        <f>D57+G57-H57</f>
        <v>6946.319898445433</v>
      </c>
      <c r="D59" s="17">
        <f>C59+(C59*0.04)</f>
        <v>7224.17269438325</v>
      </c>
      <c r="E59" s="17">
        <f>C59/3250</f>
        <v>2.1373291995216719</v>
      </c>
      <c r="F59" s="28">
        <f>(D59-C59)/E59</f>
        <v>129.99999999999986</v>
      </c>
      <c r="G59" s="18"/>
      <c r="H59" s="18"/>
      <c r="I59" s="19">
        <f>E59*50/C59</f>
        <v>1.5384615384615385E-2</v>
      </c>
      <c r="J59" s="18">
        <f>C59-(E59*1080)</f>
        <v>4638.0043629620268</v>
      </c>
    </row>
    <row r="60" spans="1:16">
      <c r="A60" s="88"/>
      <c r="B60" s="82">
        <f>B59+7</f>
        <v>43198</v>
      </c>
      <c r="C60" s="20">
        <f>D59+G59-H59</f>
        <v>7224.17269438325</v>
      </c>
      <c r="D60" s="17">
        <f>C60+(C60*0.04)</f>
        <v>7513.1396021585797</v>
      </c>
      <c r="E60" s="17">
        <f>C60/3250</f>
        <v>2.2228223675025385</v>
      </c>
      <c r="F60" s="28">
        <f>(D60-C60)/E60</f>
        <v>129.99999999999986</v>
      </c>
      <c r="G60" s="18"/>
      <c r="H60" s="18"/>
      <c r="I60" s="19">
        <f>E60*50/C60</f>
        <v>1.5384615384615384E-2</v>
      </c>
      <c r="J60" s="18">
        <f>C60-(E60*1080)</f>
        <v>4823.524537480509</v>
      </c>
    </row>
    <row r="61" spans="1:16">
      <c r="A61" s="88"/>
      <c r="B61" s="82">
        <f>B60+7</f>
        <v>43205</v>
      </c>
      <c r="C61" s="20">
        <f>D60+G60-H60</f>
        <v>7513.1396021585797</v>
      </c>
      <c r="D61" s="17">
        <f>C61+(C61*0.04)</f>
        <v>7813.6651862449226</v>
      </c>
      <c r="E61" s="17">
        <f>C61/3250</f>
        <v>2.3117352622026397</v>
      </c>
      <c r="F61" s="28">
        <f>(D61-C61)/E61</f>
        <v>129.99999999999986</v>
      </c>
      <c r="G61" s="18"/>
      <c r="H61" s="18"/>
      <c r="I61" s="19">
        <f>E61*50/C61</f>
        <v>1.5384615384615384E-2</v>
      </c>
      <c r="J61" s="18">
        <f>C61-(E61*1080)</f>
        <v>5016.4655189797286</v>
      </c>
    </row>
    <row r="62" spans="1:16" ht="13.5" thickBot="1">
      <c r="A62" s="89"/>
      <c r="B62" s="82">
        <f>B61+7</f>
        <v>43212</v>
      </c>
      <c r="C62" s="20">
        <f>D61+G61-H61</f>
        <v>7813.6651862449226</v>
      </c>
      <c r="D62" s="17">
        <f>C62+(C62*0.04)</f>
        <v>8126.2117936947197</v>
      </c>
      <c r="E62" s="17">
        <f>C62/3250</f>
        <v>2.4042046726907453</v>
      </c>
      <c r="F62" s="28">
        <f>(D62-C62)/E62</f>
        <v>130.00000000000011</v>
      </c>
      <c r="G62" s="81"/>
      <c r="H62" s="81">
        <f>(D62-C49)*0.35</f>
        <v>1067.7113590815927</v>
      </c>
      <c r="I62" s="19">
        <f>E62*50/C62</f>
        <v>1.5384615384615384E-2</v>
      </c>
      <c r="J62" s="18">
        <f>C62-(E62*1080)</f>
        <v>5217.1241397389176</v>
      </c>
      <c r="K62" s="90" t="s">
        <v>44</v>
      </c>
      <c r="L62" s="91"/>
      <c r="M62" s="91"/>
      <c r="N62" s="91"/>
      <c r="O62" s="91"/>
      <c r="P62" s="91"/>
    </row>
    <row r="63" spans="1:16" ht="13.5" thickBot="1">
      <c r="A63" s="79"/>
      <c r="B63" s="13"/>
      <c r="C63" s="22"/>
      <c r="D63" s="23"/>
      <c r="E63" s="23"/>
      <c r="F63" s="27"/>
      <c r="G63" s="23"/>
      <c r="H63" s="10"/>
      <c r="I63" s="24"/>
      <c r="J63" s="25"/>
    </row>
    <row r="64" spans="1:16">
      <c r="A64" s="87">
        <v>13</v>
      </c>
      <c r="B64" s="82">
        <f>B62+7</f>
        <v>43219</v>
      </c>
      <c r="C64" s="20">
        <f>D62+G62-H62</f>
        <v>7058.5004346131273</v>
      </c>
      <c r="D64" s="17">
        <f>C64+(C64*0.04)</f>
        <v>7340.8404519976521</v>
      </c>
      <c r="E64" s="17">
        <f>C64/3250</f>
        <v>2.17184628757327</v>
      </c>
      <c r="F64" s="28">
        <f>(D64-C64)/E64</f>
        <v>129.99999999999986</v>
      </c>
      <c r="G64" s="17"/>
      <c r="H64" s="80"/>
      <c r="I64" s="19">
        <f>E64*50/C64</f>
        <v>1.5384615384615385E-2</v>
      </c>
      <c r="J64" s="18">
        <f>C64-(E64*1080)</f>
        <v>4712.9064440339953</v>
      </c>
    </row>
    <row r="65" spans="1:16">
      <c r="A65" s="88"/>
      <c r="B65" s="82">
        <f>B64+7</f>
        <v>43226</v>
      </c>
      <c r="C65" s="20">
        <f>D64+G64-H64</f>
        <v>7340.8404519976521</v>
      </c>
      <c r="D65" s="17">
        <f>C65+(C65*0.04)</f>
        <v>7634.4740700775583</v>
      </c>
      <c r="E65" s="17">
        <f>C65/3250</f>
        <v>2.2587201390762006</v>
      </c>
      <c r="F65" s="28">
        <f>(D65-C65)/E65</f>
        <v>130.00000000000006</v>
      </c>
      <c r="G65" s="17"/>
      <c r="H65" s="80"/>
      <c r="I65" s="19">
        <f>E65*50/C65</f>
        <v>1.5384615384615385E-2</v>
      </c>
      <c r="J65" s="18">
        <f>C65-(E65*1080)</f>
        <v>4901.4227017953554</v>
      </c>
    </row>
    <row r="66" spans="1:16">
      <c r="A66" s="88"/>
      <c r="B66" s="82">
        <f>B65+7</f>
        <v>43233</v>
      </c>
      <c r="C66" s="20">
        <f>D65+G65-H65</f>
        <v>7634.4740700775583</v>
      </c>
      <c r="D66" s="17">
        <f>C66+(C66*0.04)</f>
        <v>7939.853032880661</v>
      </c>
      <c r="E66" s="17">
        <f>C66/3250</f>
        <v>2.3490689446392485</v>
      </c>
      <c r="F66" s="28">
        <f>(D66-C66)/E66</f>
        <v>130.00000000000017</v>
      </c>
      <c r="G66" s="17"/>
      <c r="H66" s="80"/>
      <c r="I66" s="19">
        <f>E66*50/C66</f>
        <v>1.5384615384615384E-2</v>
      </c>
      <c r="J66" s="18">
        <f>C66-(E66*1080)</f>
        <v>5097.4796098671704</v>
      </c>
    </row>
    <row r="67" spans="1:16" ht="13.5" thickBot="1">
      <c r="A67" s="89"/>
      <c r="B67" s="82">
        <f>B66+7</f>
        <v>43240</v>
      </c>
      <c r="C67" s="20">
        <f>D66+G66-H66</f>
        <v>7939.853032880661</v>
      </c>
      <c r="D67" s="17">
        <f>C67+(C67*0.04)</f>
        <v>8257.4471541958883</v>
      </c>
      <c r="E67" s="17">
        <f>C67/3250</f>
        <v>2.4430317024248187</v>
      </c>
      <c r="F67" s="28">
        <f>(D67-C67)/E67</f>
        <v>130.00000000000037</v>
      </c>
      <c r="G67" s="81"/>
      <c r="H67" s="81"/>
      <c r="I67" s="19">
        <f>E67*50/C67</f>
        <v>1.5384615384615385E-2</v>
      </c>
      <c r="J67" s="18">
        <f>C67-(E67*1080)</f>
        <v>5301.3787942618565</v>
      </c>
      <c r="K67" s="95"/>
      <c r="L67" s="96"/>
      <c r="M67" s="96"/>
      <c r="N67" s="96"/>
      <c r="O67" s="96"/>
      <c r="P67" s="96"/>
    </row>
    <row r="68" spans="1:16" ht="13.5" thickBot="1">
      <c r="A68" s="79"/>
      <c r="B68" s="13"/>
      <c r="C68" s="22"/>
      <c r="D68" s="23"/>
      <c r="E68" s="23"/>
      <c r="F68" s="27"/>
      <c r="G68" s="23"/>
      <c r="H68" s="10"/>
      <c r="I68" s="24"/>
      <c r="J68" s="25"/>
    </row>
    <row r="69" spans="1:16">
      <c r="A69" s="87">
        <v>14</v>
      </c>
      <c r="B69" s="82">
        <f>B67+7</f>
        <v>43247</v>
      </c>
      <c r="C69" s="20">
        <f>D67+G67-H67</f>
        <v>8257.4471541958883</v>
      </c>
      <c r="D69" s="17">
        <f>C69+(C69*0.04)</f>
        <v>8587.7450403637231</v>
      </c>
      <c r="E69" s="17">
        <f>C69/3250</f>
        <v>2.5407529705218117</v>
      </c>
      <c r="F69" s="28">
        <f>(D69-C69)/E69</f>
        <v>129.99999999999972</v>
      </c>
      <c r="G69" s="18"/>
      <c r="H69" s="18"/>
      <c r="I69" s="19">
        <f>E69*50/C69</f>
        <v>1.5384615384615384E-2</v>
      </c>
      <c r="J69" s="18">
        <f>C69-(E69*1080)</f>
        <v>5513.4339460323317</v>
      </c>
    </row>
    <row r="70" spans="1:16">
      <c r="A70" s="88"/>
      <c r="B70" s="82">
        <f>B69+7</f>
        <v>43254</v>
      </c>
      <c r="C70" s="20">
        <f>D69+G69-H69</f>
        <v>8587.7450403637231</v>
      </c>
      <c r="D70" s="17">
        <f>C70+(C70*0.04)</f>
        <v>8931.2548419782725</v>
      </c>
      <c r="E70" s="17">
        <f>C70/3250</f>
        <v>2.6423830893426841</v>
      </c>
      <c r="F70" s="28">
        <f>(D70-C70)/E70</f>
        <v>130.00000000000017</v>
      </c>
      <c r="G70" s="18"/>
      <c r="H70" s="18"/>
      <c r="I70" s="19">
        <f>E70*50/C70</f>
        <v>1.5384615384615384E-2</v>
      </c>
      <c r="J70" s="18">
        <f>C70-(E70*1080)</f>
        <v>5733.9713038736245</v>
      </c>
    </row>
    <row r="71" spans="1:16">
      <c r="A71" s="88"/>
      <c r="B71" s="82">
        <f>B70+7</f>
        <v>43261</v>
      </c>
      <c r="C71" s="20">
        <f>D70+G70-H70</f>
        <v>8931.2548419782725</v>
      </c>
      <c r="D71" s="17">
        <f>C71+(C71*0.04)</f>
        <v>9288.5050356574029</v>
      </c>
      <c r="E71" s="17">
        <f>C71/3250</f>
        <v>2.7480784129163913</v>
      </c>
      <c r="F71" s="28">
        <f>(D71-C71)/E71</f>
        <v>129.99999999999986</v>
      </c>
      <c r="G71" s="18"/>
      <c r="H71" s="18"/>
      <c r="I71" s="19">
        <f>E71*50/C71</f>
        <v>1.5384615384615384E-2</v>
      </c>
      <c r="J71" s="18">
        <f>C71-(E71*1080)</f>
        <v>5963.3301560285699</v>
      </c>
    </row>
    <row r="72" spans="1:16" ht="13.5" thickBot="1">
      <c r="A72" s="89"/>
      <c r="B72" s="82">
        <f>B71+7</f>
        <v>43268</v>
      </c>
      <c r="C72" s="20">
        <f>D71+G71-H71</f>
        <v>9288.5050356574029</v>
      </c>
      <c r="D72" s="17">
        <f>C72+(C72*0.04)</f>
        <v>9660.0452370836992</v>
      </c>
      <c r="E72" s="17">
        <f>C72/3250</f>
        <v>2.8580015494330469</v>
      </c>
      <c r="F72" s="28">
        <f>(D72-C72)/E72</f>
        <v>130.00000000000009</v>
      </c>
      <c r="G72" s="81"/>
      <c r="H72" s="81"/>
      <c r="I72" s="19">
        <f>E72*50/C72</f>
        <v>1.5384615384615384E-2</v>
      </c>
      <c r="J72" s="18">
        <f>C72-(E72*1080)</f>
        <v>6201.8633622697125</v>
      </c>
      <c r="K72" s="95"/>
      <c r="L72" s="96"/>
      <c r="M72" s="96"/>
      <c r="N72" s="96"/>
      <c r="O72" s="96"/>
      <c r="P72" s="96"/>
    </row>
    <row r="73" spans="1:16" ht="13.5" thickBot="1">
      <c r="A73" s="79"/>
      <c r="B73" s="13"/>
      <c r="C73" s="22"/>
      <c r="D73" s="23"/>
      <c r="E73" s="23"/>
      <c r="F73" s="27"/>
      <c r="G73" s="23"/>
      <c r="H73" s="10"/>
      <c r="I73" s="24"/>
      <c r="J73" s="25"/>
    </row>
    <row r="74" spans="1:16">
      <c r="A74" s="87">
        <v>15</v>
      </c>
      <c r="B74" s="82">
        <f>B72+7</f>
        <v>43275</v>
      </c>
      <c r="C74" s="20">
        <f>D72+G72-H72</f>
        <v>9660.0452370836992</v>
      </c>
      <c r="D74" s="17">
        <f>C74+(C74*0.04)</f>
        <v>10046.447046567047</v>
      </c>
      <c r="E74" s="17">
        <f>C74/3250</f>
        <v>2.972321611410369</v>
      </c>
      <c r="F74" s="28">
        <f>(D74-C74)/E74</f>
        <v>130.00000000000009</v>
      </c>
      <c r="G74" s="18"/>
      <c r="H74" s="18"/>
      <c r="I74" s="19">
        <f>E74*50/C74</f>
        <v>1.5384615384615384E-2</v>
      </c>
      <c r="J74" s="18">
        <f>C74-(E74*1080)</f>
        <v>6449.9378967605007</v>
      </c>
    </row>
    <row r="75" spans="1:16">
      <c r="A75" s="88"/>
      <c r="B75" s="82">
        <f>B74+7</f>
        <v>43282</v>
      </c>
      <c r="C75" s="20">
        <f>D74+G74-H74</f>
        <v>10046.447046567047</v>
      </c>
      <c r="D75" s="17">
        <f>C75+(C75*0.04)</f>
        <v>10448.304928429729</v>
      </c>
      <c r="E75" s="17">
        <f>C75/3250</f>
        <v>3.0912144758667837</v>
      </c>
      <c r="F75" s="28">
        <f>(D75-C75)/E75</f>
        <v>129.99999999999974</v>
      </c>
      <c r="G75" s="18"/>
      <c r="H75" s="18"/>
      <c r="I75" s="19">
        <f>E75*50/C75</f>
        <v>1.5384615384615384E-2</v>
      </c>
      <c r="J75" s="18">
        <f>C75-(E75*1080)</f>
        <v>6707.9354126309208</v>
      </c>
    </row>
    <row r="76" spans="1:16">
      <c r="A76" s="88"/>
      <c r="B76" s="82">
        <f>B75+7</f>
        <v>43289</v>
      </c>
      <c r="C76" s="20">
        <f>D75+G75-H75</f>
        <v>10448.304928429729</v>
      </c>
      <c r="D76" s="17">
        <f>C76+(C76*0.04)</f>
        <v>10866.237125566917</v>
      </c>
      <c r="E76" s="17">
        <f>C76/3250</f>
        <v>3.2148630549014547</v>
      </c>
      <c r="F76" s="28">
        <f>(D76-C76)/E76</f>
        <v>129.99999999999974</v>
      </c>
      <c r="G76" s="18"/>
      <c r="H76" s="18"/>
      <c r="I76" s="19">
        <f>E76*50/C76</f>
        <v>1.5384615384615384E-2</v>
      </c>
      <c r="J76" s="18">
        <f>C76-(E76*1080)</f>
        <v>6976.2528291361577</v>
      </c>
    </row>
    <row r="77" spans="1:16" ht="13.5" thickBot="1">
      <c r="A77" s="89"/>
      <c r="B77" s="82">
        <f>B76+7</f>
        <v>43296</v>
      </c>
      <c r="C77" s="20">
        <f>D76+G76-H76</f>
        <v>10866.237125566917</v>
      </c>
      <c r="D77" s="17">
        <f>C77+(C77*0.04)</f>
        <v>11300.886610589594</v>
      </c>
      <c r="E77" s="17">
        <f>C77/3250</f>
        <v>3.3434575770975128</v>
      </c>
      <c r="F77" s="28">
        <f>(D77-C77)/E77</f>
        <v>130.00000000000017</v>
      </c>
      <c r="G77" s="81"/>
      <c r="H77" s="81">
        <f>(D77-C64)*0.35</f>
        <v>1484.8351615917634</v>
      </c>
      <c r="I77" s="19">
        <f>E77*50/C77</f>
        <v>1.5384615384615385E-2</v>
      </c>
      <c r="J77" s="18">
        <f>C77-(E77*1080)</f>
        <v>7255.3029423016033</v>
      </c>
      <c r="K77" s="90" t="s">
        <v>44</v>
      </c>
      <c r="L77" s="91"/>
      <c r="M77" s="91"/>
      <c r="N77" s="91"/>
      <c r="O77" s="91"/>
      <c r="P77" s="91"/>
    </row>
    <row r="78" spans="1:16" ht="13.5" thickBot="1">
      <c r="A78" s="79"/>
      <c r="B78" s="13"/>
      <c r="C78" s="22"/>
      <c r="D78" s="23"/>
      <c r="E78" s="23"/>
      <c r="F78" s="27"/>
      <c r="G78" s="23"/>
      <c r="H78" s="10"/>
      <c r="I78" s="24"/>
      <c r="J78" s="25"/>
    </row>
    <row r="79" spans="1:16">
      <c r="A79" s="87">
        <v>16</v>
      </c>
      <c r="B79" s="82">
        <f>B77+7</f>
        <v>43303</v>
      </c>
      <c r="C79" s="20">
        <f>D77+G77-H77</f>
        <v>9816.0514489978304</v>
      </c>
      <c r="D79" s="17">
        <f>C79+(C79*0.04)</f>
        <v>10208.693506957743</v>
      </c>
      <c r="E79" s="17">
        <f>C79/3250</f>
        <v>3.0203235227685634</v>
      </c>
      <c r="F79" s="28">
        <f>(D79-C79)/E79</f>
        <v>129.99999999999977</v>
      </c>
      <c r="G79" s="18"/>
      <c r="H79" s="18"/>
      <c r="I79" s="19">
        <f>E79*50/C79</f>
        <v>1.5384615384615385E-2</v>
      </c>
      <c r="J79" s="18">
        <f>C79-(E79*1080)</f>
        <v>6554.1020444077822</v>
      </c>
    </row>
    <row r="80" spans="1:16">
      <c r="A80" s="88"/>
      <c r="B80" s="82">
        <f>B79+7</f>
        <v>43310</v>
      </c>
      <c r="C80" s="20">
        <f>D79+G79-H79</f>
        <v>10208.693506957743</v>
      </c>
      <c r="D80" s="17">
        <f>C80+(C80*0.04)</f>
        <v>10617.041247236053</v>
      </c>
      <c r="E80" s="17">
        <f>C80/3250</f>
        <v>3.1411364636793055</v>
      </c>
      <c r="F80" s="28">
        <f>(D80-C80)/E80</f>
        <v>130.00000000000011</v>
      </c>
      <c r="G80" s="18"/>
      <c r="H80" s="18"/>
      <c r="I80" s="19">
        <f>E80*50/C80</f>
        <v>1.5384615384615384E-2</v>
      </c>
      <c r="J80" s="18">
        <f>C80-(E80*1080)</f>
        <v>6816.2661261840931</v>
      </c>
    </row>
    <row r="81" spans="1:16">
      <c r="A81" s="88"/>
      <c r="B81" s="82">
        <f>B80+7</f>
        <v>43317</v>
      </c>
      <c r="C81" s="20">
        <f>D80+G80-H80</f>
        <v>10617.041247236053</v>
      </c>
      <c r="D81" s="17">
        <f>C81+(C81*0.04)</f>
        <v>11041.722897125495</v>
      </c>
      <c r="E81" s="17">
        <f>C81/3250</f>
        <v>3.2667819222264778</v>
      </c>
      <c r="F81" s="28">
        <f>(D81-C81)/E81</f>
        <v>130.00000000000006</v>
      </c>
      <c r="G81" s="18"/>
      <c r="H81" s="18"/>
      <c r="I81" s="19">
        <f>E81*50/C81</f>
        <v>1.5384615384615385E-2</v>
      </c>
      <c r="J81" s="18">
        <f>C81-(E81*1080)</f>
        <v>7088.9167712314575</v>
      </c>
    </row>
    <row r="82" spans="1:16" ht="13.5" thickBot="1">
      <c r="A82" s="89"/>
      <c r="B82" s="82">
        <f>B81+7</f>
        <v>43324</v>
      </c>
      <c r="C82" s="20">
        <f>D81+G81-H81</f>
        <v>11041.722897125495</v>
      </c>
      <c r="D82" s="17">
        <f>C82+(C82*0.04)</f>
        <v>11483.391813010516</v>
      </c>
      <c r="E82" s="17">
        <f>C82/3250</f>
        <v>3.397453199115537</v>
      </c>
      <c r="F82" s="28">
        <f>(D82-C82)/E82</f>
        <v>130.00000000000017</v>
      </c>
      <c r="G82" s="81"/>
      <c r="H82" s="81"/>
      <c r="I82" s="19">
        <f>E82*50/C82</f>
        <v>1.5384615384615384E-2</v>
      </c>
      <c r="J82" s="18">
        <f>C82-(E82*1080)</f>
        <v>7372.4734420807154</v>
      </c>
      <c r="K82" s="95"/>
      <c r="L82" s="96"/>
      <c r="M82" s="96"/>
      <c r="N82" s="96"/>
      <c r="O82" s="96"/>
      <c r="P82" s="96"/>
    </row>
    <row r="83" spans="1:16" ht="13.5" thickBot="1">
      <c r="A83" s="79"/>
      <c r="B83" s="13"/>
      <c r="C83" s="22"/>
      <c r="D83" s="23"/>
      <c r="E83" s="23"/>
      <c r="F83" s="27"/>
      <c r="G83" s="23"/>
      <c r="H83" s="10"/>
      <c r="I83" s="24"/>
      <c r="J83" s="25"/>
    </row>
    <row r="84" spans="1:16">
      <c r="A84" s="87">
        <v>17</v>
      </c>
      <c r="B84" s="82">
        <f>B82+7</f>
        <v>43331</v>
      </c>
      <c r="C84" s="20">
        <f>D82+G82-H82</f>
        <v>11483.391813010516</v>
      </c>
      <c r="D84" s="17">
        <f>C84+(C84*0.04)</f>
        <v>11942.727485530937</v>
      </c>
      <c r="E84" s="17">
        <f>C84/3250</f>
        <v>3.5333513270801586</v>
      </c>
      <c r="F84" s="28">
        <f>(D84-C84)/E84</f>
        <v>130.00000000000017</v>
      </c>
      <c r="G84" s="18"/>
      <c r="H84" s="18"/>
      <c r="I84" s="19">
        <f>E84*50/C84</f>
        <v>1.5384615384615384E-2</v>
      </c>
      <c r="J84" s="18">
        <f>C84-(E84*1080)</f>
        <v>7667.372379763945</v>
      </c>
    </row>
    <row r="85" spans="1:16">
      <c r="A85" s="88"/>
      <c r="B85" s="82">
        <f>B84+7</f>
        <v>43338</v>
      </c>
      <c r="C85" s="20">
        <f>D84+G84-H84</f>
        <v>11942.727485530937</v>
      </c>
      <c r="D85" s="17">
        <f>C85+(C85*0.04)</f>
        <v>12420.436584952175</v>
      </c>
      <c r="E85" s="17">
        <f>C85/3250</f>
        <v>3.6746853801633654</v>
      </c>
      <c r="F85" s="28">
        <f>(D85-C85)/E85</f>
        <v>130.00000000000003</v>
      </c>
      <c r="G85" s="18"/>
      <c r="H85" s="18"/>
      <c r="I85" s="19">
        <f>E85*50/C85</f>
        <v>1.5384615384615385E-2</v>
      </c>
      <c r="J85" s="18">
        <f>C85-(E85*1080)</f>
        <v>7974.0672749545029</v>
      </c>
      <c r="K85" s="31"/>
      <c r="L85" s="31"/>
    </row>
    <row r="86" spans="1:16">
      <c r="A86" s="88"/>
      <c r="B86" s="82">
        <f>B85+7</f>
        <v>43345</v>
      </c>
      <c r="C86" s="20">
        <f>D85+G85-H85</f>
        <v>12420.436584952175</v>
      </c>
      <c r="D86" s="17">
        <f>C86+(C86*0.04)</f>
        <v>12917.254048350262</v>
      </c>
      <c r="E86" s="17">
        <f>C86/3250</f>
        <v>3.8216727953698997</v>
      </c>
      <c r="F86" s="28">
        <f>(D86-C86)/E86</f>
        <v>130.00000000000003</v>
      </c>
      <c r="G86" s="18"/>
      <c r="H86" s="18"/>
      <c r="I86" s="19">
        <f>E86*50/C86</f>
        <v>1.5384615384615384E-2</v>
      </c>
      <c r="J86" s="18">
        <f>C86-(E86*1080)</f>
        <v>8293.0299659526827</v>
      </c>
      <c r="K86" s="31"/>
      <c r="L86" s="31"/>
    </row>
    <row r="87" spans="1:16" ht="13.5" thickBot="1">
      <c r="A87" s="89"/>
      <c r="B87" s="82">
        <f>B86+7</f>
        <v>43352</v>
      </c>
      <c r="C87" s="20">
        <f>D86+G86-H86</f>
        <v>12917.254048350262</v>
      </c>
      <c r="D87" s="17">
        <f>C87+(C87*0.04)</f>
        <v>13433.944210284271</v>
      </c>
      <c r="E87" s="17">
        <f>C87/3250</f>
        <v>3.9745397071846957</v>
      </c>
      <c r="F87" s="28">
        <f>(D87-C87)/E87</f>
        <v>129.9999999999998</v>
      </c>
      <c r="G87" s="81"/>
      <c r="H87" s="81"/>
      <c r="I87" s="19">
        <f>E87*50/C87</f>
        <v>1.5384615384615384E-2</v>
      </c>
      <c r="J87" s="18">
        <f>C87-(E87*1080)</f>
        <v>8624.7511645907907</v>
      </c>
      <c r="K87" s="95"/>
      <c r="L87" s="96"/>
      <c r="M87" s="96"/>
      <c r="N87" s="96"/>
      <c r="O87" s="96"/>
      <c r="P87" s="96"/>
    </row>
    <row r="88" spans="1:16" ht="13.5" thickBot="1">
      <c r="A88" s="79"/>
      <c r="B88" s="13"/>
      <c r="C88" s="22"/>
      <c r="D88" s="23"/>
      <c r="E88" s="23"/>
      <c r="F88" s="27"/>
      <c r="G88" s="23"/>
      <c r="H88" s="10"/>
      <c r="I88" s="24"/>
      <c r="J88" s="25"/>
    </row>
    <row r="89" spans="1:16">
      <c r="A89" s="87">
        <v>18</v>
      </c>
      <c r="B89" s="82">
        <f>B87+7</f>
        <v>43359</v>
      </c>
      <c r="C89" s="20">
        <f>D87+G87-H87</f>
        <v>13433.944210284271</v>
      </c>
      <c r="D89" s="17">
        <f>C89+(C89*0.04)</f>
        <v>13971.301978695643</v>
      </c>
      <c r="E89" s="17">
        <f>C89/3250</f>
        <v>4.1335212954720832</v>
      </c>
      <c r="F89" s="28">
        <f>(D89-C89)/E89</f>
        <v>130.00000000000017</v>
      </c>
      <c r="G89" s="18"/>
      <c r="H89" s="18"/>
      <c r="I89" s="19">
        <f>E89*50/C89</f>
        <v>1.5384615384615384E-2</v>
      </c>
      <c r="J89" s="18">
        <f>C89-(E89*1080)</f>
        <v>8969.7412111744216</v>
      </c>
    </row>
    <row r="90" spans="1:16">
      <c r="A90" s="88"/>
      <c r="B90" s="82">
        <f>B89+7</f>
        <v>43366</v>
      </c>
      <c r="C90" s="20">
        <f>D89+G89-H89</f>
        <v>13971.301978695643</v>
      </c>
      <c r="D90" s="17">
        <f>C90+(C90*0.04)</f>
        <v>14530.154057843469</v>
      </c>
      <c r="E90" s="17">
        <f>C90/3250</f>
        <v>4.2988621472909667</v>
      </c>
      <c r="F90" s="28">
        <f>(D90-C90)/E90</f>
        <v>130.00000000000006</v>
      </c>
      <c r="G90" s="18"/>
      <c r="H90" s="18"/>
      <c r="I90" s="19">
        <f>E90*50/C90</f>
        <v>1.5384615384615382E-2</v>
      </c>
      <c r="J90" s="18">
        <f>C90-(E90*1080)</f>
        <v>9328.5308596213981</v>
      </c>
    </row>
    <row r="91" spans="1:16">
      <c r="A91" s="88"/>
      <c r="B91" s="82">
        <f>B90+7</f>
        <v>43373</v>
      </c>
      <c r="C91" s="20">
        <f>D90+G90-H90</f>
        <v>14530.154057843469</v>
      </c>
      <c r="D91" s="17">
        <f>C91+(C91*0.04)</f>
        <v>15111.360220157207</v>
      </c>
      <c r="E91" s="17">
        <f>C91/3250</f>
        <v>4.470816633182606</v>
      </c>
      <c r="F91" s="28">
        <f>(D91-C91)/E91</f>
        <v>129.9999999999998</v>
      </c>
      <c r="G91" s="18"/>
      <c r="H91" s="18"/>
      <c r="I91" s="19">
        <f>E91*50/C91</f>
        <v>1.5384615384615385E-2</v>
      </c>
      <c r="J91" s="18">
        <f>C91-(E91*1080)</f>
        <v>9701.6720940062551</v>
      </c>
    </row>
    <row r="92" spans="1:16" ht="13.5" thickBot="1">
      <c r="A92" s="89"/>
      <c r="B92" s="82">
        <f>B91+7</f>
        <v>43380</v>
      </c>
      <c r="C92" s="20">
        <f>D91+G91-H91</f>
        <v>15111.360220157207</v>
      </c>
      <c r="D92" s="17">
        <f>C92+(C92*0.04)</f>
        <v>15715.814628963495</v>
      </c>
      <c r="E92" s="17">
        <f>C92/3250</f>
        <v>4.6496492985099094</v>
      </c>
      <c r="F92" s="28">
        <f>(D92-C92)/E92</f>
        <v>130.00000000000006</v>
      </c>
      <c r="G92" s="81"/>
      <c r="H92" s="81">
        <f>(D92-C79)*0.35</f>
        <v>2064.9171129879824</v>
      </c>
      <c r="I92" s="19">
        <f>E92*50/C92</f>
        <v>1.5384615384615384E-2</v>
      </c>
      <c r="J92" s="18">
        <f>C92-(E92*1080)</f>
        <v>10089.738977766505</v>
      </c>
      <c r="K92" s="90" t="s">
        <v>44</v>
      </c>
      <c r="L92" s="91"/>
      <c r="M92" s="91"/>
      <c r="N92" s="91"/>
      <c r="O92" s="91"/>
      <c r="P92" s="91"/>
    </row>
    <row r="93" spans="1:16" ht="13.5" thickBot="1">
      <c r="A93" s="79"/>
      <c r="B93" s="13"/>
      <c r="C93" s="22"/>
      <c r="D93" s="23"/>
      <c r="E93" s="23"/>
      <c r="F93" s="27"/>
      <c r="G93" s="23"/>
      <c r="H93" s="10"/>
      <c r="I93" s="24"/>
      <c r="J93" s="25"/>
    </row>
    <row r="94" spans="1:16">
      <c r="A94" s="87">
        <v>19</v>
      </c>
      <c r="B94" s="82">
        <f>B92+7</f>
        <v>43387</v>
      </c>
      <c r="C94" s="20">
        <f>D92+G92-H92</f>
        <v>13650.897515975514</v>
      </c>
      <c r="D94" s="17">
        <f>C94+(C94*0.04)</f>
        <v>14196.933416614535</v>
      </c>
      <c r="E94" s="17">
        <f>C94/3250</f>
        <v>4.2002761587616968</v>
      </c>
      <c r="F94" s="28">
        <f>(D94-C94)/E94</f>
        <v>130.00000000000006</v>
      </c>
      <c r="G94" s="17"/>
      <c r="H94" s="18"/>
      <c r="I94" s="19">
        <f>E94*50/C94</f>
        <v>1.5384615384615387E-2</v>
      </c>
      <c r="J94" s="18">
        <f>C94-(E94*1080)</f>
        <v>9114.5992645128808</v>
      </c>
    </row>
    <row r="95" spans="1:16">
      <c r="A95" s="88"/>
      <c r="B95" s="82">
        <f>B94+7</f>
        <v>43394</v>
      </c>
      <c r="C95" s="20">
        <f>D94+G94-H94</f>
        <v>14196.933416614535</v>
      </c>
      <c r="D95" s="17">
        <f>C95+(C95*0.04)</f>
        <v>14764.810753279116</v>
      </c>
      <c r="E95" s="17">
        <f>C95/3250</f>
        <v>4.3682872051121642</v>
      </c>
      <c r="F95" s="28">
        <f>(D95-C95)/E95</f>
        <v>130.00000000000011</v>
      </c>
      <c r="G95" s="17"/>
      <c r="H95" s="18"/>
      <c r="I95" s="19">
        <f>E95*50/C95</f>
        <v>1.5384615384615384E-2</v>
      </c>
      <c r="J95" s="18">
        <f>C95-(E95*1080)</f>
        <v>9479.1832350933983</v>
      </c>
    </row>
    <row r="96" spans="1:16">
      <c r="A96" s="88"/>
      <c r="B96" s="82">
        <f>B95+7</f>
        <v>43401</v>
      </c>
      <c r="C96" s="20">
        <f>D95+G95-H95</f>
        <v>14764.810753279116</v>
      </c>
      <c r="D96" s="17">
        <f>C96+(C96*0.04)</f>
        <v>15355.403183410281</v>
      </c>
      <c r="E96" s="17">
        <f>C96/3250</f>
        <v>4.5430186933166512</v>
      </c>
      <c r="F96" s="28">
        <f>(D96-C96)/E96</f>
        <v>129.99999999999991</v>
      </c>
      <c r="G96" s="17"/>
      <c r="H96" s="18"/>
      <c r="I96" s="19">
        <f>E96*50/C96</f>
        <v>1.5384615384615384E-2</v>
      </c>
      <c r="J96" s="18">
        <f>C96-(E96*1080)</f>
        <v>9858.3505644971337</v>
      </c>
    </row>
    <row r="97" spans="1:16" ht="13.5" thickBot="1">
      <c r="A97" s="89"/>
      <c r="B97" s="82">
        <f>B96+7</f>
        <v>43408</v>
      </c>
      <c r="C97" s="20">
        <f>D96+G96-H96</f>
        <v>15355.403183410281</v>
      </c>
      <c r="D97" s="17">
        <f>C97+(C97*0.04)</f>
        <v>15969.619310746692</v>
      </c>
      <c r="E97" s="17">
        <f>C97/3250</f>
        <v>4.7247394410493175</v>
      </c>
      <c r="F97" s="28">
        <f>(D97-C97)/E97</f>
        <v>129.99999999999991</v>
      </c>
      <c r="G97" s="81"/>
      <c r="H97" s="81"/>
      <c r="I97" s="19">
        <f>E97*50/C97</f>
        <v>1.5384615384615387E-2</v>
      </c>
      <c r="J97" s="18">
        <f>C97-(E97*1080)</f>
        <v>10252.684587077018</v>
      </c>
      <c r="K97" s="95"/>
      <c r="L97" s="96"/>
      <c r="M97" s="96"/>
      <c r="N97" s="96"/>
      <c r="O97" s="96"/>
      <c r="P97" s="96"/>
    </row>
    <row r="98" spans="1:16" ht="13.5" thickBot="1">
      <c r="A98" s="79"/>
      <c r="B98" s="13"/>
      <c r="C98" s="22"/>
      <c r="D98" s="23"/>
      <c r="E98" s="23"/>
      <c r="F98" s="27"/>
      <c r="G98" s="23"/>
      <c r="H98" s="10"/>
      <c r="I98" s="24"/>
      <c r="J98" s="25"/>
    </row>
    <row r="99" spans="1:16">
      <c r="A99" s="87">
        <v>20</v>
      </c>
      <c r="B99" s="82">
        <f>B97+7</f>
        <v>43415</v>
      </c>
      <c r="C99" s="20">
        <f>D97+G97-H97</f>
        <v>15969.619310746692</v>
      </c>
      <c r="D99" s="17">
        <f>C99+(C99*0.04)</f>
        <v>16608.40408317656</v>
      </c>
      <c r="E99" s="17">
        <f>C99/3250</f>
        <v>4.9137290186912894</v>
      </c>
      <c r="F99" s="28">
        <f>(D99-C99)/E99</f>
        <v>130.00000000000009</v>
      </c>
      <c r="G99" s="18"/>
      <c r="H99" s="18"/>
      <c r="I99" s="19">
        <f>E99*50/C99</f>
        <v>1.5384615384615384E-2</v>
      </c>
      <c r="J99" s="18">
        <f>C99-(E99*1080)</f>
        <v>10662.791970560098</v>
      </c>
    </row>
    <row r="100" spans="1:16">
      <c r="A100" s="88"/>
      <c r="B100" s="82">
        <f>B99+7</f>
        <v>43422</v>
      </c>
      <c r="C100" s="20">
        <f>D99+G99-H99</f>
        <v>16608.40408317656</v>
      </c>
      <c r="D100" s="17">
        <f>C100+(C100*0.04)</f>
        <v>17272.740246503621</v>
      </c>
      <c r="E100" s="17">
        <f>C100/3250</f>
        <v>5.1102781794389411</v>
      </c>
      <c r="F100" s="28">
        <f>(D100-C100)/E100</f>
        <v>129.99999999999983</v>
      </c>
      <c r="G100" s="18"/>
      <c r="H100" s="18"/>
      <c r="I100" s="19">
        <f>E100*50/C100</f>
        <v>1.5384615384615384E-2</v>
      </c>
      <c r="J100" s="18">
        <f>C100-(E100*1080)</f>
        <v>11089.303649382502</v>
      </c>
    </row>
    <row r="101" spans="1:16">
      <c r="A101" s="88"/>
      <c r="B101" s="82">
        <f>B100+7</f>
        <v>43429</v>
      </c>
      <c r="C101" s="20">
        <f>D100+G100-H100</f>
        <v>17272.740246503621</v>
      </c>
      <c r="D101" s="17">
        <f>C101+(C101*0.04)</f>
        <v>17963.649856363765</v>
      </c>
      <c r="E101" s="17">
        <f>C101/3250</f>
        <v>5.3146893066164989</v>
      </c>
      <c r="F101" s="28">
        <f>(D101-C101)/E101</f>
        <v>129.99999999999983</v>
      </c>
      <c r="G101" s="18"/>
      <c r="H101" s="18"/>
      <c r="I101" s="19">
        <f>E101*50/C101</f>
        <v>1.5384615384615385E-2</v>
      </c>
      <c r="J101" s="18">
        <f>C101-(E101*1080)</f>
        <v>11532.875795357802</v>
      </c>
    </row>
    <row r="102" spans="1:16" ht="13.5" thickBot="1">
      <c r="A102" s="89"/>
      <c r="B102" s="82">
        <f>B101+7</f>
        <v>43436</v>
      </c>
      <c r="C102" s="20">
        <f>D101+G101-H101</f>
        <v>17963.649856363765</v>
      </c>
      <c r="D102" s="17">
        <f>C102+(C102*0.04)</f>
        <v>18682.195850618315</v>
      </c>
      <c r="E102" s="17">
        <f>C102/3250</f>
        <v>5.5272768788811586</v>
      </c>
      <c r="F102" s="28">
        <f>(D102-C102)/E102</f>
        <v>129.9999999999998</v>
      </c>
      <c r="G102" s="81"/>
      <c r="H102" s="81"/>
      <c r="I102" s="19">
        <f>E102*50/C102</f>
        <v>1.5384615384615384E-2</v>
      </c>
      <c r="J102" s="18">
        <f>C102-(E102*1080)</f>
        <v>11994.190827172115</v>
      </c>
      <c r="K102" s="95"/>
      <c r="L102" s="96"/>
      <c r="M102" s="96"/>
      <c r="N102" s="96"/>
      <c r="O102" s="96"/>
      <c r="P102" s="96"/>
    </row>
    <row r="103" spans="1:16" ht="13.5" thickBot="1">
      <c r="A103" s="79"/>
      <c r="B103" s="13"/>
      <c r="C103" s="22"/>
      <c r="D103" s="23"/>
      <c r="E103" s="23"/>
      <c r="F103" s="27"/>
      <c r="G103" s="23"/>
      <c r="H103" s="10"/>
      <c r="I103" s="24"/>
      <c r="J103" s="25"/>
    </row>
    <row r="104" spans="1:16">
      <c r="A104" s="87">
        <v>21</v>
      </c>
      <c r="B104" s="82">
        <f>B102+7</f>
        <v>43443</v>
      </c>
      <c r="C104" s="20">
        <f>D102+G102-H102</f>
        <v>18682.195850618315</v>
      </c>
      <c r="D104" s="17">
        <f>C104+(C104*0.04)</f>
        <v>19429.483684643048</v>
      </c>
      <c r="E104" s="17">
        <f>C104/3250</f>
        <v>5.7483679540364045</v>
      </c>
      <c r="F104" s="28">
        <f>(D104-C104)/E104</f>
        <v>130.00000000000014</v>
      </c>
      <c r="G104" s="18"/>
      <c r="H104" s="18"/>
      <c r="I104" s="19">
        <f>E104*50/C104</f>
        <v>1.5384615384615385E-2</v>
      </c>
      <c r="J104" s="18">
        <f>C104-(E104*1080)</f>
        <v>12473.958460258997</v>
      </c>
    </row>
    <row r="105" spans="1:16">
      <c r="A105" s="88"/>
      <c r="B105" s="82">
        <f>B104+7</f>
        <v>43450</v>
      </c>
      <c r="C105" s="20">
        <f>D104+G104-H104</f>
        <v>19429.483684643048</v>
      </c>
      <c r="D105" s="17">
        <f>C105+(C105*0.04)</f>
        <v>20206.66303202877</v>
      </c>
      <c r="E105" s="17">
        <f>C105/3250</f>
        <v>5.9783026721978612</v>
      </c>
      <c r="F105" s="28">
        <f>(D105-C105)/E105</f>
        <v>129.99999999999991</v>
      </c>
      <c r="G105" s="18"/>
      <c r="H105" s="18"/>
      <c r="I105" s="19">
        <f>E105*50/C105</f>
        <v>1.5384615384615385E-2</v>
      </c>
      <c r="J105" s="18">
        <f>C105-(E105*1080)</f>
        <v>12972.916798669357</v>
      </c>
    </row>
    <row r="106" spans="1:16">
      <c r="A106" s="88"/>
      <c r="B106" s="82">
        <f>B105+7</f>
        <v>43457</v>
      </c>
      <c r="C106" s="20">
        <f>D105+G105-H105</f>
        <v>20206.66303202877</v>
      </c>
      <c r="D106" s="17">
        <f>C106+(C106*0.04)</f>
        <v>21014.929553309921</v>
      </c>
      <c r="E106" s="17">
        <f>C106/3250</f>
        <v>6.2174347790857754</v>
      </c>
      <c r="F106" s="28">
        <f>(D106-C106)/E106</f>
        <v>130.00000000000014</v>
      </c>
      <c r="G106" s="18"/>
      <c r="H106" s="18"/>
      <c r="I106" s="19">
        <f>E106*50/C106</f>
        <v>1.5384615384615385E-2</v>
      </c>
      <c r="J106" s="18">
        <f>C106-(E106*1080)</f>
        <v>13491.833470616133</v>
      </c>
    </row>
    <row r="107" spans="1:16" ht="13.5" thickBot="1">
      <c r="A107" s="89"/>
      <c r="B107" s="82">
        <f>B106+7</f>
        <v>43464</v>
      </c>
      <c r="C107" s="20">
        <f>D106+G106-H106</f>
        <v>21014.929553309921</v>
      </c>
      <c r="D107" s="17">
        <f>C107+(C107*0.04)</f>
        <v>21855.526735442319</v>
      </c>
      <c r="E107" s="17">
        <f>C107/3250</f>
        <v>6.4661321702492067</v>
      </c>
      <c r="F107" s="28">
        <f>(D107-C107)/E107</f>
        <v>130.00000000000023</v>
      </c>
      <c r="G107" s="81"/>
      <c r="H107" s="81">
        <f>(D107-C94)*0.35</f>
        <v>2871.620226813382</v>
      </c>
      <c r="I107" s="19">
        <f>E107*50/C107</f>
        <v>1.5384615384615385E-2</v>
      </c>
      <c r="J107" s="18">
        <f>C107-(E107*1080)</f>
        <v>14031.506809440778</v>
      </c>
      <c r="K107" s="90" t="s">
        <v>44</v>
      </c>
      <c r="L107" s="91"/>
      <c r="M107" s="91"/>
      <c r="N107" s="91"/>
      <c r="O107" s="91"/>
      <c r="P107" s="91"/>
    </row>
    <row r="108" spans="1:16" ht="13.5" thickBot="1">
      <c r="A108" s="79"/>
      <c r="B108" s="13"/>
      <c r="C108" s="22"/>
      <c r="D108" s="23"/>
      <c r="E108" s="23"/>
      <c r="F108" s="27"/>
      <c r="G108" s="23"/>
      <c r="H108" s="10"/>
      <c r="I108" s="24"/>
      <c r="J108" s="25"/>
    </row>
    <row r="109" spans="1:16">
      <c r="A109" s="87">
        <v>22</v>
      </c>
      <c r="B109" s="82">
        <f>B107+7</f>
        <v>43471</v>
      </c>
      <c r="C109" s="20">
        <f>D107+G107-H107</f>
        <v>18983.906508628937</v>
      </c>
      <c r="D109" s="17">
        <f>C109+(C109*0.04)</f>
        <v>19743.262768974095</v>
      </c>
      <c r="E109" s="17">
        <f>C109/3250</f>
        <v>5.8412020026550575</v>
      </c>
      <c r="F109" s="28">
        <f>(D109-C109)/E109</f>
        <v>129.99999999999997</v>
      </c>
      <c r="G109" s="18"/>
      <c r="H109" s="18"/>
      <c r="I109" s="19">
        <f>E109*50/C109</f>
        <v>1.5384615384615385E-2</v>
      </c>
      <c r="J109" s="18">
        <f>C109-(E109*1080)</f>
        <v>12675.408345761476</v>
      </c>
    </row>
    <row r="110" spans="1:16">
      <c r="A110" s="88"/>
      <c r="B110" s="82">
        <f>B109+7</f>
        <v>43478</v>
      </c>
      <c r="C110" s="20">
        <f>D109+G109-H109</f>
        <v>19743.262768974095</v>
      </c>
      <c r="D110" s="17">
        <f>C110+(C110*0.04)</f>
        <v>20532.993279733058</v>
      </c>
      <c r="E110" s="17">
        <f>C110/3250</f>
        <v>6.0748500827612597</v>
      </c>
      <c r="F110" s="28">
        <f>(D110-C110)/E110</f>
        <v>129.99999999999997</v>
      </c>
      <c r="G110" s="18"/>
      <c r="H110" s="18"/>
      <c r="I110" s="19">
        <f>E110*50/C110</f>
        <v>1.5384615384615385E-2</v>
      </c>
      <c r="J110" s="18">
        <f>C110-(E110*1080)</f>
        <v>13182.424679591935</v>
      </c>
    </row>
    <row r="111" spans="1:16">
      <c r="A111" s="88"/>
      <c r="B111" s="82">
        <f>B110+7</f>
        <v>43485</v>
      </c>
      <c r="C111" s="20">
        <f>D110+G110-H110</f>
        <v>20532.993279733058</v>
      </c>
      <c r="D111" s="17">
        <f>C111+(C111*0.04)</f>
        <v>21354.313010922382</v>
      </c>
      <c r="E111" s="17">
        <f>C111/3250</f>
        <v>6.3178440860717107</v>
      </c>
      <c r="F111" s="28">
        <f>(D111-C111)/E111</f>
        <v>130.0000000000002</v>
      </c>
      <c r="G111" s="18"/>
      <c r="H111" s="18"/>
      <c r="I111" s="19">
        <f>E111*50/C111</f>
        <v>1.5384615384615385E-2</v>
      </c>
      <c r="J111" s="18">
        <f>C111-(E111*1080)</f>
        <v>13709.721666775611</v>
      </c>
    </row>
    <row r="112" spans="1:16" ht="13.5" thickBot="1">
      <c r="A112" s="89"/>
      <c r="B112" s="82">
        <f>B111+7</f>
        <v>43492</v>
      </c>
      <c r="C112" s="20">
        <f>D111+G111-H111</f>
        <v>21354.313010922382</v>
      </c>
      <c r="D112" s="17">
        <f>C112+(C112*0.04)</f>
        <v>22208.485531359278</v>
      </c>
      <c r="E112" s="17">
        <f>C112/3250</f>
        <v>6.5705578495145787</v>
      </c>
      <c r="F112" s="28">
        <f>(D112-C112)/E112</f>
        <v>130.00000000000009</v>
      </c>
      <c r="G112" s="81"/>
      <c r="H112" s="81"/>
      <c r="I112" s="19">
        <f>E112*50/C112</f>
        <v>1.5384615384615384E-2</v>
      </c>
      <c r="J112" s="18">
        <f>C112-(E112*1080)</f>
        <v>14258.110533446637</v>
      </c>
      <c r="K112" s="95"/>
      <c r="L112" s="96"/>
      <c r="M112" s="96"/>
      <c r="N112" s="96"/>
      <c r="O112" s="96"/>
      <c r="P112" s="96"/>
    </row>
    <row r="113" spans="1:16" ht="13.5" thickBot="1">
      <c r="A113" s="79"/>
      <c r="B113" s="13"/>
      <c r="C113" s="22"/>
      <c r="D113" s="23"/>
      <c r="E113" s="23"/>
      <c r="F113" s="27"/>
      <c r="G113" s="23"/>
      <c r="H113" s="10"/>
      <c r="I113" s="24"/>
      <c r="J113" s="25"/>
    </row>
    <row r="114" spans="1:16">
      <c r="A114" s="87">
        <v>23</v>
      </c>
      <c r="B114" s="82">
        <f>B112+7</f>
        <v>43499</v>
      </c>
      <c r="C114" s="20">
        <f>D112+G112-H112</f>
        <v>22208.485531359278</v>
      </c>
      <c r="D114" s="17">
        <f>C114+(C114*0.04)</f>
        <v>23096.82495261365</v>
      </c>
      <c r="E114" s="17">
        <f>C114/3250</f>
        <v>6.8333801634951623</v>
      </c>
      <c r="F114" s="28">
        <f>(D114-C114)/E114</f>
        <v>130.00000000000009</v>
      </c>
      <c r="G114" s="18"/>
      <c r="H114" s="18"/>
      <c r="I114" s="19">
        <f>E114*50/C114</f>
        <v>1.5384615384615384E-2</v>
      </c>
      <c r="J114" s="18">
        <f>C114-(E114*1080)</f>
        <v>14828.434954784501</v>
      </c>
    </row>
    <row r="115" spans="1:16">
      <c r="A115" s="88"/>
      <c r="B115" s="82">
        <f>B114+7</f>
        <v>43506</v>
      </c>
      <c r="C115" s="20">
        <f>D114+G114-H114</f>
        <v>23096.82495261365</v>
      </c>
      <c r="D115" s="17">
        <f>C115+(C115*0.04)</f>
        <v>24020.697950718197</v>
      </c>
      <c r="E115" s="17">
        <f>C115/3250</f>
        <v>7.1067153700349692</v>
      </c>
      <c r="F115" s="28">
        <f>(D115-C115)/E115</f>
        <v>130.00000000000017</v>
      </c>
      <c r="G115" s="18"/>
      <c r="H115" s="18"/>
      <c r="I115" s="19">
        <f>E115*50/C115</f>
        <v>1.5384615384615385E-2</v>
      </c>
      <c r="J115" s="18">
        <f>C115-(E115*1080)</f>
        <v>15421.572352975883</v>
      </c>
    </row>
    <row r="116" spans="1:16">
      <c r="A116" s="88"/>
      <c r="B116" s="82">
        <f>B115+7</f>
        <v>43513</v>
      </c>
      <c r="C116" s="20">
        <f>D115+G115-H115</f>
        <v>24020.697950718197</v>
      </c>
      <c r="D116" s="17">
        <f>C116+(C116*0.04)</f>
        <v>24981.525868746925</v>
      </c>
      <c r="E116" s="17">
        <f>C116/3250</f>
        <v>7.3909839848363683</v>
      </c>
      <c r="F116" s="28">
        <f>(D116-C116)/E116</f>
        <v>130.00000000000003</v>
      </c>
      <c r="G116" s="18"/>
      <c r="H116" s="18"/>
      <c r="I116" s="19">
        <f>E116*50/C116</f>
        <v>1.5384615384615385E-2</v>
      </c>
      <c r="J116" s="18">
        <f>C116-(E116*1080)</f>
        <v>16038.43524709492</v>
      </c>
    </row>
    <row r="117" spans="1:16" ht="13.5" thickBot="1">
      <c r="A117" s="89"/>
      <c r="B117" s="82">
        <f>B116+7</f>
        <v>43520</v>
      </c>
      <c r="C117" s="20">
        <f>D116+G116-H116</f>
        <v>24981.525868746925</v>
      </c>
      <c r="D117" s="17">
        <f>C117+(C117*0.04)</f>
        <v>25980.786903496803</v>
      </c>
      <c r="E117" s="17">
        <f>C117/3250</f>
        <v>7.6866233442298233</v>
      </c>
      <c r="F117" s="28">
        <f>(D117-C117)/E117</f>
        <v>130.00000000000009</v>
      </c>
      <c r="G117" s="81"/>
      <c r="H117" s="81"/>
      <c r="I117" s="19">
        <f>E117*50/C117</f>
        <v>1.5384615384615385E-2</v>
      </c>
      <c r="J117" s="18">
        <f>C117-(E117*1080)</f>
        <v>16679.972656978716</v>
      </c>
      <c r="K117" s="95"/>
      <c r="L117" s="96"/>
      <c r="M117" s="96"/>
      <c r="N117" s="96"/>
      <c r="O117" s="96"/>
      <c r="P117" s="96"/>
    </row>
    <row r="118" spans="1:16" ht="13.5" thickBot="1">
      <c r="A118" s="79"/>
      <c r="B118" s="13"/>
      <c r="C118" s="22"/>
      <c r="D118" s="23"/>
      <c r="E118" s="23"/>
      <c r="F118" s="27"/>
      <c r="G118" s="23"/>
      <c r="H118" s="10"/>
      <c r="I118" s="24"/>
      <c r="J118" s="25"/>
    </row>
    <row r="119" spans="1:16">
      <c r="A119" s="87">
        <v>24</v>
      </c>
      <c r="B119" s="82">
        <f>B117+7</f>
        <v>43527</v>
      </c>
      <c r="C119" s="20">
        <f>D117+G117-H117</f>
        <v>25980.786903496803</v>
      </c>
      <c r="D119" s="17">
        <f>C119+(C119*0.04)</f>
        <v>27020.018379636676</v>
      </c>
      <c r="E119" s="17">
        <f>C119/3250</f>
        <v>7.9940882779990163</v>
      </c>
      <c r="F119" s="28">
        <f>(D119-C119)/E119</f>
        <v>130.00000000000023</v>
      </c>
      <c r="G119" s="18"/>
      <c r="H119" s="18"/>
      <c r="I119" s="19">
        <f>E119*50/C119</f>
        <v>1.5384615384615384E-2</v>
      </c>
      <c r="J119" s="18">
        <f>C119-(E119*1080)</f>
        <v>17347.171563257863</v>
      </c>
    </row>
    <row r="120" spans="1:16">
      <c r="A120" s="88"/>
      <c r="B120" s="82">
        <f>B119+7</f>
        <v>43534</v>
      </c>
      <c r="C120" s="20">
        <f>D119+G119-H119</f>
        <v>27020.018379636676</v>
      </c>
      <c r="D120" s="17">
        <f>C120+(C120*0.04)</f>
        <v>28100.819114822145</v>
      </c>
      <c r="E120" s="17">
        <f>C120/3250</f>
        <v>8.3138518091189777</v>
      </c>
      <c r="F120" s="28">
        <f>(D120-C120)/E120</f>
        <v>130.00000000000017</v>
      </c>
      <c r="G120" s="18"/>
      <c r="H120" s="18"/>
      <c r="I120" s="19">
        <f>E120*50/C120</f>
        <v>1.5384615384615385E-2</v>
      </c>
      <c r="J120" s="18">
        <f>C120-(E120*1080)</f>
        <v>18041.058425788178</v>
      </c>
    </row>
    <row r="121" spans="1:16">
      <c r="A121" s="88"/>
      <c r="B121" s="82">
        <f>B120+7</f>
        <v>43541</v>
      </c>
      <c r="C121" s="20">
        <f>D120+G120-H120</f>
        <v>28100.819114822145</v>
      </c>
      <c r="D121" s="17">
        <f>C121+(C121*0.04)</f>
        <v>29224.85187941503</v>
      </c>
      <c r="E121" s="17">
        <f>C121/3250</f>
        <v>8.6464058814837372</v>
      </c>
      <c r="F121" s="28">
        <f>(D121-C121)/E121</f>
        <v>129.99999999999986</v>
      </c>
      <c r="G121" s="18"/>
      <c r="H121" s="18"/>
      <c r="I121" s="19">
        <f>E121*50/C121</f>
        <v>1.5384615384615385E-2</v>
      </c>
      <c r="J121" s="18">
        <f>C121-(E121*1080)</f>
        <v>18762.70076281971</v>
      </c>
    </row>
    <row r="122" spans="1:16" ht="13.5" thickBot="1">
      <c r="A122" s="89"/>
      <c r="B122" s="82">
        <f>B121+7</f>
        <v>43548</v>
      </c>
      <c r="C122" s="20">
        <f>D121+G121-H121</f>
        <v>29224.85187941503</v>
      </c>
      <c r="D122" s="17">
        <f>C122+(C122*0.04)</f>
        <v>30393.84595459163</v>
      </c>
      <c r="E122" s="17">
        <f>C122/3250</f>
        <v>8.9922621167430865</v>
      </c>
      <c r="F122" s="28">
        <f>(D122-C122)/E122</f>
        <v>129.99999999999994</v>
      </c>
      <c r="G122" s="81"/>
      <c r="H122" s="81">
        <f>(D122-C109)*0.35</f>
        <v>3993.4788060869423</v>
      </c>
      <c r="I122" s="19">
        <f>E122*50/C122</f>
        <v>1.5384615384615385E-2</v>
      </c>
      <c r="J122" s="18">
        <f>C122-(E122*1080)</f>
        <v>19513.208793332495</v>
      </c>
      <c r="K122" s="90" t="s">
        <v>44</v>
      </c>
      <c r="L122" s="91"/>
      <c r="M122" s="91"/>
      <c r="N122" s="91"/>
      <c r="O122" s="91"/>
      <c r="P122" s="91"/>
    </row>
    <row r="123" spans="1:16" ht="13.5" thickBot="1">
      <c r="A123" s="79"/>
      <c r="B123" s="13"/>
      <c r="C123" s="22"/>
      <c r="D123" s="23"/>
      <c r="E123" s="23"/>
      <c r="F123" s="27"/>
      <c r="G123" s="23"/>
      <c r="H123" s="10"/>
      <c r="I123" s="24"/>
      <c r="J123" s="25"/>
    </row>
    <row r="124" spans="1:16">
      <c r="A124" s="87">
        <v>25</v>
      </c>
      <c r="B124" s="82">
        <f>B122+7</f>
        <v>43555</v>
      </c>
      <c r="C124" s="20">
        <f>D122+G122-H122</f>
        <v>26400.367148504687</v>
      </c>
      <c r="D124" s="17">
        <f>C124+(C124*0.04)</f>
        <v>27456.381834444874</v>
      </c>
      <c r="E124" s="17">
        <f>C124/3250</f>
        <v>8.1231898918475967</v>
      </c>
      <c r="F124" s="28">
        <f>(D124-C124)/E124</f>
        <v>129.99999999999989</v>
      </c>
      <c r="G124" s="17"/>
      <c r="H124" s="18"/>
      <c r="I124" s="19">
        <f>E124*50/C124</f>
        <v>1.5384615384615385E-2</v>
      </c>
      <c r="J124" s="18">
        <f>C124-(E124*1080)</f>
        <v>17627.322065309283</v>
      </c>
    </row>
    <row r="125" spans="1:16">
      <c r="A125" s="88"/>
      <c r="B125" s="82">
        <f>B124+7</f>
        <v>43562</v>
      </c>
      <c r="C125" s="20">
        <f>D124+G124-H124</f>
        <v>27456.381834444874</v>
      </c>
      <c r="D125" s="17">
        <f>C125+(C125*0.04)</f>
        <v>28554.637107822669</v>
      </c>
      <c r="E125" s="17">
        <f>C125/3250</f>
        <v>8.4481174875215004</v>
      </c>
      <c r="F125" s="28">
        <f>(D125-C125)/E125</f>
        <v>130.00000000000009</v>
      </c>
      <c r="G125" s="17"/>
      <c r="H125" s="18"/>
      <c r="I125" s="19">
        <f>E125*50/C125</f>
        <v>1.5384615384615385E-2</v>
      </c>
      <c r="J125" s="18">
        <f>C125-(E125*1080)</f>
        <v>18332.414947921654</v>
      </c>
      <c r="K125" s="31"/>
      <c r="L125" s="31"/>
    </row>
    <row r="126" spans="1:16">
      <c r="A126" s="88"/>
      <c r="B126" s="82">
        <f>B125+7</f>
        <v>43569</v>
      </c>
      <c r="C126" s="20">
        <f>D125+G125-H125</f>
        <v>28554.637107822669</v>
      </c>
      <c r="D126" s="17">
        <f>C126+(C126*0.04)</f>
        <v>29696.822592135577</v>
      </c>
      <c r="E126" s="17">
        <f>C126/3250</f>
        <v>8.7860421870223604</v>
      </c>
      <c r="F126" s="28">
        <f>(D126-C126)/E126</f>
        <v>130.00000000000009</v>
      </c>
      <c r="G126" s="17"/>
      <c r="H126" s="18"/>
      <c r="I126" s="19">
        <f>E126*50/C126</f>
        <v>1.5384615384615385E-2</v>
      </c>
      <c r="J126" s="18">
        <f>C126-(E126*1080)</f>
        <v>19065.71154583852</v>
      </c>
      <c r="K126" s="31"/>
      <c r="L126" s="31"/>
    </row>
    <row r="127" spans="1:16" ht="13.5" thickBot="1">
      <c r="A127" s="89"/>
      <c r="B127" s="82">
        <f>B126+7</f>
        <v>43576</v>
      </c>
      <c r="C127" s="20">
        <f>D126+G126-H126</f>
        <v>29696.822592135577</v>
      </c>
      <c r="D127" s="17">
        <f>C127+(C127*0.04)</f>
        <v>30884.695495821001</v>
      </c>
      <c r="E127" s="17">
        <f>C127/3250</f>
        <v>9.1374838745032552</v>
      </c>
      <c r="F127" s="28">
        <f>(D127-C127)/E127</f>
        <v>130.00000000000006</v>
      </c>
      <c r="G127" s="81"/>
      <c r="H127" s="81"/>
      <c r="I127" s="19">
        <f>E127*50/C127</f>
        <v>1.5384615384615385E-2</v>
      </c>
      <c r="J127" s="18">
        <f>C127-(E127*1080)</f>
        <v>19828.340007672061</v>
      </c>
      <c r="K127" s="95"/>
      <c r="L127" s="96"/>
      <c r="M127" s="96"/>
      <c r="N127" s="96"/>
      <c r="O127" s="96"/>
      <c r="P127" s="96"/>
    </row>
    <row r="128" spans="1:16" ht="13.5" thickBot="1">
      <c r="A128" s="79"/>
      <c r="B128" s="13"/>
      <c r="C128" s="22"/>
      <c r="D128" s="23"/>
      <c r="E128" s="23"/>
      <c r="F128" s="27"/>
      <c r="G128" s="23"/>
      <c r="H128" s="10"/>
      <c r="I128" s="24"/>
      <c r="J128" s="25"/>
    </row>
    <row r="129" spans="1:16">
      <c r="A129" s="87">
        <v>26</v>
      </c>
      <c r="B129" s="82">
        <f>B127+7</f>
        <v>43583</v>
      </c>
      <c r="C129" s="20">
        <f>D127+G127-H127</f>
        <v>30884.695495821001</v>
      </c>
      <c r="D129" s="17">
        <f>C129+(C129*0.04)</f>
        <v>32120.083315653839</v>
      </c>
      <c r="E129" s="17">
        <f>C129/3250</f>
        <v>9.5029832294833856</v>
      </c>
      <c r="F129" s="28">
        <f>(D129-C129)/E129</f>
        <v>129.99999999999983</v>
      </c>
      <c r="G129" s="18"/>
      <c r="H129" s="18"/>
      <c r="I129" s="19">
        <f>E129*50/C129</f>
        <v>1.5384615384615385E-2</v>
      </c>
      <c r="J129" s="18">
        <f>C129-(E129*1080)</f>
        <v>20621.473607978944</v>
      </c>
    </row>
    <row r="130" spans="1:16">
      <c r="A130" s="88"/>
      <c r="B130" s="82">
        <f>B129+7</f>
        <v>43590</v>
      </c>
      <c r="C130" s="20">
        <f>D129+G129-H129</f>
        <v>32120.083315653839</v>
      </c>
      <c r="D130" s="17">
        <f>C130+(C130*0.04)</f>
        <v>33404.886648279993</v>
      </c>
      <c r="E130" s="17">
        <f>C130/3250</f>
        <v>9.8831025586627206</v>
      </c>
      <c r="F130" s="28">
        <f>(D130-C130)/E130</f>
        <v>130.00000000000003</v>
      </c>
      <c r="G130" s="18"/>
      <c r="H130" s="18"/>
      <c r="I130" s="19">
        <f>E130*50/C130</f>
        <v>1.5384615384615385E-2</v>
      </c>
      <c r="J130" s="18">
        <f>C130-(E130*1080)</f>
        <v>21446.332552298103</v>
      </c>
    </row>
    <row r="131" spans="1:16">
      <c r="A131" s="88"/>
      <c r="B131" s="82">
        <f>B130+7</f>
        <v>43597</v>
      </c>
      <c r="C131" s="20">
        <f>D130+G130-H130</f>
        <v>33404.886648279993</v>
      </c>
      <c r="D131" s="17">
        <f>C131+(C131*0.04)</f>
        <v>34741.082114211196</v>
      </c>
      <c r="E131" s="17">
        <f>C131/3250</f>
        <v>10.278426661009229</v>
      </c>
      <c r="F131" s="28">
        <f>(D131-C131)/E131</f>
        <v>130.00000000000034</v>
      </c>
      <c r="G131" s="18"/>
      <c r="H131" s="18"/>
      <c r="I131" s="19">
        <f>E131*50/C131</f>
        <v>1.5384615384615387E-2</v>
      </c>
      <c r="J131" s="18">
        <f>C131-(E131*1080)</f>
        <v>22304.185854390023</v>
      </c>
    </row>
    <row r="132" spans="1:16" ht="13.5" thickBot="1">
      <c r="A132" s="89"/>
      <c r="B132" s="82">
        <f>B131+7</f>
        <v>43604</v>
      </c>
      <c r="C132" s="20">
        <f>D131+G131-H131</f>
        <v>34741.082114211196</v>
      </c>
      <c r="D132" s="17">
        <f>C132+(C132*0.04)</f>
        <v>36130.725398779643</v>
      </c>
      <c r="E132" s="17">
        <f>C132/3250</f>
        <v>10.689563727449599</v>
      </c>
      <c r="F132" s="28">
        <f>(D132-C132)/E132</f>
        <v>129.99999999999989</v>
      </c>
      <c r="G132" s="81"/>
      <c r="H132" s="81"/>
      <c r="I132" s="19">
        <f>E132*50/C132</f>
        <v>1.5384615384615385E-2</v>
      </c>
      <c r="J132" s="18">
        <f>C132-(E132*1080)</f>
        <v>23196.353288565631</v>
      </c>
      <c r="K132" s="95"/>
      <c r="L132" s="96"/>
      <c r="M132" s="96"/>
      <c r="N132" s="96"/>
      <c r="O132" s="96"/>
      <c r="P132" s="96"/>
    </row>
    <row r="133" spans="1:16" ht="13.5" thickBot="1">
      <c r="A133" s="79"/>
      <c r="B133" s="13"/>
      <c r="C133" s="22"/>
      <c r="D133" s="23"/>
      <c r="E133" s="23"/>
      <c r="F133" s="27"/>
      <c r="G133" s="23"/>
      <c r="H133" s="10"/>
      <c r="I133" s="24"/>
      <c r="J133" s="25"/>
    </row>
    <row r="134" spans="1:16">
      <c r="A134" s="87">
        <v>27</v>
      </c>
      <c r="B134" s="82">
        <f>B132+7</f>
        <v>43611</v>
      </c>
      <c r="C134" s="20">
        <f>D132+G132-H132</f>
        <v>36130.725398779643</v>
      </c>
      <c r="D134" s="17">
        <f>C134+(C134*0.04)</f>
        <v>37575.954414730826</v>
      </c>
      <c r="E134" s="17">
        <f>C134/3250</f>
        <v>11.117146276547583</v>
      </c>
      <c r="F134" s="28">
        <f>(D134-C134)/E134</f>
        <v>129.99999999999974</v>
      </c>
      <c r="G134" s="18"/>
      <c r="H134" s="18"/>
      <c r="I134" s="19">
        <f>E134*50/C134</f>
        <v>1.5384615384615385E-2</v>
      </c>
      <c r="J134" s="18">
        <f>C134-(E134*1080)</f>
        <v>24124.207420108254</v>
      </c>
    </row>
    <row r="135" spans="1:16">
      <c r="A135" s="88"/>
      <c r="B135" s="82">
        <f>B134+7</f>
        <v>43618</v>
      </c>
      <c r="C135" s="20">
        <f>D134+G134-H134</f>
        <v>37575.954414730826</v>
      </c>
      <c r="D135" s="17">
        <f>C135+(C135*0.04)</f>
        <v>39078.992591320057</v>
      </c>
      <c r="E135" s="17">
        <f>C135/3250</f>
        <v>11.561832127609485</v>
      </c>
      <c r="F135" s="28">
        <f>(D135-C135)/E135</f>
        <v>129.9999999999998</v>
      </c>
      <c r="G135" s="18"/>
      <c r="H135" s="18"/>
      <c r="I135" s="19">
        <f>E135*50/C135</f>
        <v>1.5384615384615384E-2</v>
      </c>
      <c r="J135" s="18">
        <f>C135-(E135*1080)</f>
        <v>25089.175716912585</v>
      </c>
    </row>
    <row r="136" spans="1:16">
      <c r="A136" s="88"/>
      <c r="B136" s="82">
        <f>B135+7</f>
        <v>43625</v>
      </c>
      <c r="C136" s="20">
        <f>D135+G135-H135</f>
        <v>39078.992591320057</v>
      </c>
      <c r="D136" s="17">
        <f>C136+(C136*0.04)</f>
        <v>40642.152294972861</v>
      </c>
      <c r="E136" s="17">
        <f>C136/3250</f>
        <v>12.024305412713863</v>
      </c>
      <c r="F136" s="28">
        <f>(D136-C136)/E136</f>
        <v>130.00000000000011</v>
      </c>
      <c r="G136" s="18"/>
      <c r="H136" s="18"/>
      <c r="I136" s="19">
        <f>E136*50/C136</f>
        <v>1.5384615384615384E-2</v>
      </c>
      <c r="J136" s="18">
        <f>C136-(E136*1080)</f>
        <v>26092.742745589087</v>
      </c>
    </row>
    <row r="137" spans="1:16" ht="13.5" thickBot="1">
      <c r="A137" s="89"/>
      <c r="B137" s="82">
        <f>B136+7</f>
        <v>43632</v>
      </c>
      <c r="C137" s="20">
        <f>D136+G136-H136</f>
        <v>40642.152294972861</v>
      </c>
      <c r="D137" s="17">
        <f>C137+(C137*0.04)</f>
        <v>42267.838386771778</v>
      </c>
      <c r="E137" s="17">
        <f>C137/3250</f>
        <v>12.505277629222419</v>
      </c>
      <c r="F137" s="28">
        <f>(D137-C137)/E137</f>
        <v>130.00000000000028</v>
      </c>
      <c r="G137" s="81"/>
      <c r="H137" s="81">
        <f>(D137-C124)*0.35</f>
        <v>5553.6149333934818</v>
      </c>
      <c r="I137" s="19">
        <f>E137*50/C137</f>
        <v>1.5384615384615385E-2</v>
      </c>
      <c r="J137" s="18">
        <f>C137-(E137*1080)</f>
        <v>27136.452455412647</v>
      </c>
      <c r="K137" s="90" t="s">
        <v>44</v>
      </c>
      <c r="L137" s="91"/>
      <c r="M137" s="91"/>
      <c r="N137" s="91"/>
      <c r="O137" s="91"/>
      <c r="P137" s="91"/>
    </row>
    <row r="138" spans="1:16" ht="13.5" thickBot="1">
      <c r="A138" s="79"/>
      <c r="B138" s="13"/>
      <c r="C138" s="22"/>
      <c r="D138" s="23"/>
      <c r="E138" s="23"/>
      <c r="F138" s="27"/>
      <c r="G138" s="23"/>
      <c r="H138" s="10"/>
      <c r="I138" s="24"/>
      <c r="J138" s="25"/>
    </row>
    <row r="139" spans="1:16">
      <c r="A139" s="87">
        <v>28</v>
      </c>
      <c r="B139" s="82">
        <f>B137+7</f>
        <v>43639</v>
      </c>
      <c r="C139" s="20">
        <f>D137+G137-H137</f>
        <v>36714.223453378298</v>
      </c>
      <c r="D139" s="17">
        <f>C139+(C139*0.04)</f>
        <v>38182.792391513431</v>
      </c>
      <c r="E139" s="17">
        <f>C139/3250</f>
        <v>11.296684139501014</v>
      </c>
      <c r="F139" s="28">
        <f>(D139-C139)/E139</f>
        <v>130.00000000000011</v>
      </c>
      <c r="G139" s="18"/>
      <c r="H139" s="18"/>
      <c r="I139" s="19">
        <f>E139*50/C139</f>
        <v>1.5384615384615385E-2</v>
      </c>
      <c r="J139" s="18">
        <f>C139-(E139*1080)</f>
        <v>24513.804582717203</v>
      </c>
    </row>
    <row r="140" spans="1:16">
      <c r="A140" s="88"/>
      <c r="B140" s="82">
        <f>B139+7</f>
        <v>43646</v>
      </c>
      <c r="C140" s="20">
        <f>D139+G139-H139</f>
        <v>38182.792391513431</v>
      </c>
      <c r="D140" s="17">
        <f>C140+(C140*0.04)</f>
        <v>39710.104087173968</v>
      </c>
      <c r="E140" s="17">
        <f>C140/3250</f>
        <v>11.748551505081055</v>
      </c>
      <c r="F140" s="28">
        <f>(D140-C140)/E140</f>
        <v>130</v>
      </c>
      <c r="G140" s="18"/>
      <c r="H140" s="18"/>
      <c r="I140" s="19">
        <f>E140*50/C140</f>
        <v>1.5384615384615384E-2</v>
      </c>
      <c r="J140" s="18">
        <f>C140-(E140*1080)</f>
        <v>25494.356766025892</v>
      </c>
    </row>
    <row r="141" spans="1:16">
      <c r="A141" s="88"/>
      <c r="B141" s="82">
        <f>B140+7</f>
        <v>43653</v>
      </c>
      <c r="C141" s="20">
        <f>D140+G140-H140</f>
        <v>39710.104087173968</v>
      </c>
      <c r="D141" s="17">
        <f>C141+(C141*0.04)</f>
        <v>41298.508250660925</v>
      </c>
      <c r="E141" s="17">
        <f>C141/3250</f>
        <v>12.218493565284298</v>
      </c>
      <c r="F141" s="28">
        <f>(D141-C141)/E141</f>
        <v>129.99999999999989</v>
      </c>
      <c r="G141" s="18"/>
      <c r="H141" s="18"/>
      <c r="I141" s="19">
        <f>E141*50/C141</f>
        <v>1.5384615384615385E-2</v>
      </c>
      <c r="J141" s="18">
        <f>C141-(E141*1080)</f>
        <v>26514.131036666928</v>
      </c>
    </row>
    <row r="142" spans="1:16" ht="13.5" thickBot="1">
      <c r="A142" s="89"/>
      <c r="B142" s="82">
        <f>B141+7</f>
        <v>43660</v>
      </c>
      <c r="C142" s="20">
        <f>D141+G141-H141</f>
        <v>41298.508250660925</v>
      </c>
      <c r="D142" s="17">
        <f>C142+(C142*0.04)</f>
        <v>42950.448580687364</v>
      </c>
      <c r="E142" s="17">
        <f>C142/3250</f>
        <v>12.707233307895669</v>
      </c>
      <c r="F142" s="28">
        <f>(D142-C142)/E142</f>
        <v>130.00000000000011</v>
      </c>
      <c r="G142" s="81"/>
      <c r="H142" s="81"/>
      <c r="I142" s="19">
        <f>E142*50/C142</f>
        <v>1.5384615384615385E-2</v>
      </c>
      <c r="J142" s="18">
        <f>C142-(E142*1080)</f>
        <v>27574.696278133604</v>
      </c>
      <c r="K142" s="95"/>
      <c r="L142" s="96"/>
      <c r="M142" s="96"/>
      <c r="N142" s="96"/>
      <c r="O142" s="96"/>
      <c r="P142" s="96"/>
    </row>
    <row r="143" spans="1:16" ht="13.5" thickBot="1">
      <c r="A143" s="79"/>
      <c r="B143" s="13"/>
      <c r="C143" s="22"/>
      <c r="D143" s="23"/>
      <c r="E143" s="23"/>
      <c r="F143" s="27"/>
      <c r="G143" s="23"/>
      <c r="H143" s="10"/>
      <c r="I143" s="24"/>
      <c r="J143" s="25"/>
    </row>
    <row r="144" spans="1:16">
      <c r="A144" s="87">
        <v>29</v>
      </c>
      <c r="B144" s="82">
        <f>B142+7</f>
        <v>43667</v>
      </c>
      <c r="C144" s="20">
        <f>D142+G142-H142</f>
        <v>42950.448580687364</v>
      </c>
      <c r="D144" s="17">
        <f>C144+(C144*0.04)</f>
        <v>44668.46652391486</v>
      </c>
      <c r="E144" s="17">
        <f>C144/3250</f>
        <v>13.215522640211496</v>
      </c>
      <c r="F144" s="28">
        <f>(D144-C144)/E144</f>
        <v>130.00000000000014</v>
      </c>
      <c r="G144" s="18"/>
      <c r="H144" s="18"/>
      <c r="I144" s="19">
        <f>E144*50/C144</f>
        <v>1.5384615384615384E-2</v>
      </c>
      <c r="J144" s="18">
        <f>C144-(E144*1080)</f>
        <v>28677.684129258945</v>
      </c>
    </row>
    <row r="145" spans="1:16">
      <c r="A145" s="88"/>
      <c r="B145" s="82">
        <f>B144+7</f>
        <v>43674</v>
      </c>
      <c r="C145" s="20">
        <f>D144+G144-H144</f>
        <v>44668.46652391486</v>
      </c>
      <c r="D145" s="17">
        <f>C145+(C145*0.04)</f>
        <v>46455.205184871455</v>
      </c>
      <c r="E145" s="17">
        <f>C145/3250</f>
        <v>13.744143545819957</v>
      </c>
      <c r="F145" s="28">
        <f>(D145-C145)/E145</f>
        <v>130.00000000000003</v>
      </c>
      <c r="G145" s="18"/>
      <c r="H145" s="18"/>
      <c r="I145" s="19">
        <f>E145*50/C145</f>
        <v>1.5384615384615384E-2</v>
      </c>
      <c r="J145" s="18">
        <f>C145-(E145*1080)</f>
        <v>29824.791494429308</v>
      </c>
    </row>
    <row r="146" spans="1:16">
      <c r="A146" s="88"/>
      <c r="B146" s="82">
        <f>B145+7</f>
        <v>43681</v>
      </c>
      <c r="C146" s="20">
        <f>D145+G145-H145</f>
        <v>46455.205184871455</v>
      </c>
      <c r="D146" s="17">
        <f>C146+(C146*0.04)</f>
        <v>48313.41339226631</v>
      </c>
      <c r="E146" s="17">
        <f>C146/3250</f>
        <v>14.293909287652756</v>
      </c>
      <c r="F146" s="28">
        <f>(D146-C146)/E146</f>
        <v>129.99999999999977</v>
      </c>
      <c r="G146" s="18"/>
      <c r="H146" s="18"/>
      <c r="I146" s="19">
        <f>E146*50/C146</f>
        <v>1.5384615384615387E-2</v>
      </c>
      <c r="J146" s="18">
        <f>C146-(E146*1080)</f>
        <v>31017.783154206478</v>
      </c>
    </row>
    <row r="147" spans="1:16" ht="13.5" thickBot="1">
      <c r="A147" s="89"/>
      <c r="B147" s="82">
        <f>B146+7</f>
        <v>43688</v>
      </c>
      <c r="C147" s="20">
        <f>D146+G146-H146</f>
        <v>48313.41339226631</v>
      </c>
      <c r="D147" s="17">
        <f>C147+(C147*0.04)</f>
        <v>50245.949927956965</v>
      </c>
      <c r="E147" s="17">
        <f>C147/3250</f>
        <v>14.865665659158864</v>
      </c>
      <c r="F147" s="28">
        <f>(D147-C147)/E147</f>
        <v>130.00000000000017</v>
      </c>
      <c r="G147" s="81"/>
      <c r="H147" s="81"/>
      <c r="I147" s="19">
        <f>E147*50/C147</f>
        <v>1.5384615384615385E-2</v>
      </c>
      <c r="J147" s="18">
        <f>C147-(E147*1080)</f>
        <v>32258.494480374735</v>
      </c>
      <c r="K147" s="95"/>
      <c r="L147" s="96"/>
      <c r="M147" s="96"/>
      <c r="N147" s="96"/>
      <c r="O147" s="96"/>
      <c r="P147" s="96"/>
    </row>
    <row r="148" spans="1:16" ht="13.5" thickBot="1">
      <c r="A148" s="79"/>
      <c r="B148" s="13"/>
      <c r="C148" s="22"/>
      <c r="D148" s="23"/>
      <c r="E148" s="23"/>
      <c r="F148" s="27"/>
      <c r="G148" s="23"/>
      <c r="H148" s="10"/>
      <c r="I148" s="24"/>
      <c r="J148" s="25"/>
    </row>
    <row r="149" spans="1:16">
      <c r="A149" s="87">
        <v>30</v>
      </c>
      <c r="B149" s="82">
        <f>B147+7</f>
        <v>43695</v>
      </c>
      <c r="C149" s="20">
        <f>D147+G147-H147</f>
        <v>50245.949927956965</v>
      </c>
      <c r="D149" s="17">
        <f>C149+(C149*0.04)</f>
        <v>52255.787925075245</v>
      </c>
      <c r="E149" s="17">
        <f>C149/3250</f>
        <v>15.46029228552522</v>
      </c>
      <c r="F149" s="28">
        <f>(D149-C149)/E149</f>
        <v>130.00000000000011</v>
      </c>
      <c r="G149" s="18"/>
      <c r="H149" s="18"/>
      <c r="I149" s="19">
        <f>E149*50/C149</f>
        <v>1.5384615384615385E-2</v>
      </c>
      <c r="J149" s="18">
        <f>C149-(E149*1080)</f>
        <v>33548.834259589727</v>
      </c>
    </row>
    <row r="150" spans="1:16">
      <c r="A150" s="88"/>
      <c r="B150" s="82">
        <f>B149+7</f>
        <v>43702</v>
      </c>
      <c r="C150" s="20">
        <f>D149+G149-H149</f>
        <v>52255.787925075245</v>
      </c>
      <c r="D150" s="17">
        <f>C150+(C150*0.04)</f>
        <v>54346.019442078257</v>
      </c>
      <c r="E150" s="17">
        <f>C150/3250</f>
        <v>16.07870397694623</v>
      </c>
      <c r="F150" s="28">
        <f>(D150-C150)/E150</f>
        <v>130.00000000000017</v>
      </c>
      <c r="G150" s="18"/>
      <c r="H150" s="18"/>
      <c r="I150" s="19">
        <f>E150*50/C150</f>
        <v>1.5384615384615385E-2</v>
      </c>
      <c r="J150" s="18">
        <f>C150-(E150*1080)</f>
        <v>34890.787629973318</v>
      </c>
    </row>
    <row r="151" spans="1:16">
      <c r="A151" s="88"/>
      <c r="B151" s="82">
        <f>B150+7</f>
        <v>43709</v>
      </c>
      <c r="C151" s="20">
        <f>D150+G150-H150</f>
        <v>54346.019442078257</v>
      </c>
      <c r="D151" s="17">
        <f>C151+(C151*0.04)</f>
        <v>56519.860219761387</v>
      </c>
      <c r="E151" s="17">
        <f>C151/3250</f>
        <v>16.721852136024079</v>
      </c>
      <c r="F151" s="28">
        <f>(D151-C151)/E151</f>
        <v>129.99999999999997</v>
      </c>
      <c r="G151" s="18"/>
      <c r="H151" s="18"/>
      <c r="I151" s="19">
        <f>E151*50/C151</f>
        <v>1.5384615384615384E-2</v>
      </c>
      <c r="J151" s="18">
        <f>C151-(E151*1080)</f>
        <v>36286.419135172255</v>
      </c>
    </row>
    <row r="152" spans="1:16" ht="13.5" thickBot="1">
      <c r="A152" s="89"/>
      <c r="B152" s="82">
        <f>B151+7</f>
        <v>43716</v>
      </c>
      <c r="C152" s="20">
        <f>D151+G151-H151</f>
        <v>56519.860219761387</v>
      </c>
      <c r="D152" s="17">
        <f>C152+(C152*0.04)</f>
        <v>58780.654628551842</v>
      </c>
      <c r="E152" s="17">
        <f>C152/3250</f>
        <v>17.390726221465041</v>
      </c>
      <c r="F152" s="28">
        <f>(D152-C152)/E152</f>
        <v>129.99999999999994</v>
      </c>
      <c r="G152" s="81"/>
      <c r="H152" s="81">
        <f>(D152-C139)*0.35</f>
        <v>7723.2509113107399</v>
      </c>
      <c r="I152" s="19">
        <f>E152*50/C152</f>
        <v>1.5384615384615384E-2</v>
      </c>
      <c r="J152" s="18">
        <f>C152-(E152*1080)</f>
        <v>37737.875900579143</v>
      </c>
      <c r="K152" s="90" t="s">
        <v>44</v>
      </c>
      <c r="L152" s="91"/>
      <c r="M152" s="91"/>
      <c r="N152" s="91"/>
      <c r="O152" s="91"/>
      <c r="P152" s="91"/>
    </row>
    <row r="153" spans="1:16" ht="13.5" thickBot="1">
      <c r="A153" s="79"/>
      <c r="B153" s="13"/>
      <c r="C153" s="22"/>
      <c r="D153" s="23"/>
      <c r="E153" s="23"/>
      <c r="F153" s="27"/>
      <c r="G153" s="23"/>
      <c r="H153" s="10"/>
      <c r="I153" s="24"/>
      <c r="J153" s="25"/>
    </row>
    <row r="154" spans="1:16">
      <c r="A154" s="87">
        <v>31</v>
      </c>
      <c r="B154" s="82">
        <f>B152+7</f>
        <v>43723</v>
      </c>
      <c r="C154" s="20">
        <f>D152+G152-H152</f>
        <v>51057.403717241104</v>
      </c>
      <c r="D154" s="17">
        <f>C154+(C154*0.04)</f>
        <v>53099.69986593075</v>
      </c>
      <c r="E154" s="17">
        <f>C154/3250</f>
        <v>15.709970374535725</v>
      </c>
      <c r="F154" s="28">
        <f>(D154-C154)/E154</f>
        <v>130.00000000000009</v>
      </c>
      <c r="G154" s="17"/>
      <c r="H154" s="80"/>
      <c r="I154" s="19">
        <f>E154*50/C154</f>
        <v>1.5384615384615385E-2</v>
      </c>
      <c r="J154" s="18">
        <f>C154-(E154*1080)</f>
        <v>34090.635712742522</v>
      </c>
    </row>
    <row r="155" spans="1:16">
      <c r="A155" s="88"/>
      <c r="B155" s="82">
        <f>B154+7</f>
        <v>43730</v>
      </c>
      <c r="C155" s="20">
        <f>D154+G154-H154</f>
        <v>53099.69986593075</v>
      </c>
      <c r="D155" s="17">
        <f>C155+(C155*0.04)</f>
        <v>55223.687860567981</v>
      </c>
      <c r="E155" s="17">
        <f>C155/3250</f>
        <v>16.338369189517152</v>
      </c>
      <c r="F155" s="28">
        <f>(D155-C155)/E155</f>
        <v>130.00000000000009</v>
      </c>
      <c r="G155" s="17"/>
      <c r="H155" s="80"/>
      <c r="I155" s="19">
        <f>E155*50/C155</f>
        <v>1.5384615384615384E-2</v>
      </c>
      <c r="J155" s="18">
        <f>C155-(E155*1080)</f>
        <v>35454.261141252224</v>
      </c>
    </row>
    <row r="156" spans="1:16">
      <c r="A156" s="88"/>
      <c r="B156" s="82">
        <f>B155+7</f>
        <v>43737</v>
      </c>
      <c r="C156" s="20">
        <f>D155+G155-H155</f>
        <v>55223.687860567981</v>
      </c>
      <c r="D156" s="17">
        <f>C156+(C156*0.04)</f>
        <v>57432.635374990699</v>
      </c>
      <c r="E156" s="17">
        <f>C156/3250</f>
        <v>16.99190395709784</v>
      </c>
      <c r="F156" s="28">
        <f>(D156-C156)/E156</f>
        <v>129.99999999999994</v>
      </c>
      <c r="G156" s="17"/>
      <c r="H156" s="80"/>
      <c r="I156" s="19">
        <f>E156*50/C156</f>
        <v>1.5384615384615385E-2</v>
      </c>
      <c r="J156" s="18">
        <f>C156-(E156*1080)</f>
        <v>36872.431586902312</v>
      </c>
    </row>
    <row r="157" spans="1:16" ht="13.5" thickBot="1">
      <c r="A157" s="89"/>
      <c r="B157" s="82">
        <f>B156+7</f>
        <v>43744</v>
      </c>
      <c r="C157" s="20">
        <f>D156+G156-H156</f>
        <v>57432.635374990699</v>
      </c>
      <c r="D157" s="17">
        <f>C157+(C157*0.04)</f>
        <v>59729.940789990331</v>
      </c>
      <c r="E157" s="17">
        <f>C157/3250</f>
        <v>17.671580115381754</v>
      </c>
      <c r="F157" s="28">
        <f>(D157-C157)/E157</f>
        <v>130.0000000000002</v>
      </c>
      <c r="G157" s="81"/>
      <c r="H157" s="81"/>
      <c r="I157" s="19">
        <f>E157*50/C157</f>
        <v>1.5384615384615385E-2</v>
      </c>
      <c r="J157" s="18">
        <f>C157-(E157*1080)</f>
        <v>38347.328850378406</v>
      </c>
      <c r="K157" s="95"/>
      <c r="L157" s="96"/>
      <c r="M157" s="96"/>
      <c r="N157" s="96"/>
      <c r="O157" s="96"/>
      <c r="P157" s="96"/>
    </row>
    <row r="158" spans="1:16" ht="13.5" thickBot="1">
      <c r="A158" s="79"/>
      <c r="B158" s="13"/>
      <c r="C158" s="22"/>
      <c r="D158" s="23"/>
      <c r="E158" s="23"/>
      <c r="F158" s="27"/>
      <c r="G158" s="23"/>
      <c r="H158" s="10"/>
      <c r="I158" s="24"/>
      <c r="J158" s="25"/>
    </row>
    <row r="159" spans="1:16">
      <c r="A159" s="87">
        <v>32</v>
      </c>
      <c r="B159" s="82">
        <f>B157+7</f>
        <v>43751</v>
      </c>
      <c r="C159" s="20">
        <f>D157+G157-H157</f>
        <v>59729.940789990331</v>
      </c>
      <c r="D159" s="17">
        <f>C159+(C159*0.04)</f>
        <v>62119.138421589945</v>
      </c>
      <c r="E159" s="17">
        <f>C159/3250</f>
        <v>18.378443319997025</v>
      </c>
      <c r="F159" s="28">
        <f>(D159-C159)/E159</f>
        <v>130.00000000000006</v>
      </c>
      <c r="G159" s="18"/>
      <c r="H159" s="18"/>
      <c r="I159" s="19">
        <f>E159*50/C159</f>
        <v>1.5384615384615385E-2</v>
      </c>
      <c r="J159" s="18">
        <f>C159-(E159*1080)</f>
        <v>39881.222004393545</v>
      </c>
    </row>
    <row r="160" spans="1:16">
      <c r="A160" s="88"/>
      <c r="B160" s="82">
        <f>B159+7</f>
        <v>43758</v>
      </c>
      <c r="C160" s="20">
        <f>D159+G159-H159</f>
        <v>62119.138421589945</v>
      </c>
      <c r="D160" s="17">
        <f>C160+(C160*0.04)</f>
        <v>64603.903958453542</v>
      </c>
      <c r="E160" s="17">
        <f>C160/3250</f>
        <v>19.113581052796906</v>
      </c>
      <c r="F160" s="28">
        <f>(D160-C160)/E160</f>
        <v>129.99999999999994</v>
      </c>
      <c r="G160" s="18"/>
      <c r="H160" s="18"/>
      <c r="I160" s="19">
        <f>E160*50/C160</f>
        <v>1.5384615384615384E-2</v>
      </c>
      <c r="J160" s="18">
        <f>C160-(E160*1080)</f>
        <v>41476.470884569288</v>
      </c>
    </row>
    <row r="161" spans="1:16">
      <c r="A161" s="88"/>
      <c r="B161" s="82">
        <f>B160+7</f>
        <v>43765</v>
      </c>
      <c r="C161" s="20">
        <f>D160+G160-H160</f>
        <v>64603.903958453542</v>
      </c>
      <c r="D161" s="17">
        <f>C161+(C161*0.04)</f>
        <v>67188.06011679169</v>
      </c>
      <c r="E161" s="17">
        <f>C161/3250</f>
        <v>19.878124294908783</v>
      </c>
      <c r="F161" s="28">
        <f>(D161-C161)/E161</f>
        <v>130.00000000000031</v>
      </c>
      <c r="G161" s="18"/>
      <c r="H161" s="18"/>
      <c r="I161" s="19">
        <f>E161*50/C161</f>
        <v>1.5384615384615385E-2</v>
      </c>
      <c r="J161" s="18">
        <f>C161-(E161*1080)</f>
        <v>43135.529719952057</v>
      </c>
    </row>
    <row r="162" spans="1:16" ht="13.5" thickBot="1">
      <c r="A162" s="89"/>
      <c r="B162" s="82">
        <f>B161+7</f>
        <v>43772</v>
      </c>
      <c r="C162" s="20">
        <f>D161+G161-H161</f>
        <v>67188.06011679169</v>
      </c>
      <c r="D162" s="17">
        <f>C162+(C162*0.04)</f>
        <v>69875.582521463351</v>
      </c>
      <c r="E162" s="17">
        <f>C162/3250</f>
        <v>20.673249266705135</v>
      </c>
      <c r="F162" s="28">
        <f>(D162-C162)/E162</f>
        <v>129.99999999999969</v>
      </c>
      <c r="G162" s="81"/>
      <c r="H162" s="81"/>
      <c r="I162" s="19">
        <f>E162*50/C162</f>
        <v>1.5384615384615384E-2</v>
      </c>
      <c r="J162" s="18">
        <f>C162-(E162*1080)</f>
        <v>44860.95090875015</v>
      </c>
      <c r="K162" s="95"/>
      <c r="L162" s="96"/>
      <c r="M162" s="96"/>
      <c r="N162" s="96"/>
      <c r="O162" s="96"/>
      <c r="P162" s="96"/>
    </row>
    <row r="163" spans="1:16" ht="13.5" thickBot="1">
      <c r="A163" s="79"/>
      <c r="B163" s="13"/>
      <c r="C163" s="22"/>
      <c r="D163" s="23"/>
      <c r="E163" s="23"/>
      <c r="F163" s="27"/>
      <c r="G163" s="23"/>
      <c r="H163" s="10"/>
      <c r="I163" s="24"/>
      <c r="J163" s="25"/>
    </row>
    <row r="164" spans="1:16">
      <c r="A164" s="87">
        <v>33</v>
      </c>
      <c r="B164" s="82">
        <f>B162+7</f>
        <v>43779</v>
      </c>
      <c r="C164" s="20">
        <f>D162+G162-H162</f>
        <v>69875.582521463351</v>
      </c>
      <c r="D164" s="17">
        <f>C164+(C164*0.04)</f>
        <v>72670.605822321886</v>
      </c>
      <c r="E164" s="17">
        <f>C164/3250</f>
        <v>21.500179237373338</v>
      </c>
      <c r="F164" s="28">
        <f>(D164-C164)/E164</f>
        <v>130.00000000000003</v>
      </c>
      <c r="G164" s="18"/>
      <c r="H164" s="18"/>
      <c r="I164" s="19">
        <f>E164*50/C164</f>
        <v>1.5384615384615382E-2</v>
      </c>
      <c r="J164" s="18">
        <f>C164-(E164*1080)</f>
        <v>46655.388945100145</v>
      </c>
    </row>
    <row r="165" spans="1:16">
      <c r="A165" s="88"/>
      <c r="B165" s="82">
        <f>B164+7</f>
        <v>43786</v>
      </c>
      <c r="C165" s="20">
        <f>D164+G164-H164</f>
        <v>72670.605822321886</v>
      </c>
      <c r="D165" s="17">
        <f>C165+(C165*0.04)</f>
        <v>75577.430055214762</v>
      </c>
      <c r="E165" s="17">
        <f>C165/3250</f>
        <v>22.360186406868273</v>
      </c>
      <c r="F165" s="28">
        <f>(D165-C165)/E165</f>
        <v>130</v>
      </c>
      <c r="G165" s="18"/>
      <c r="H165" s="18"/>
      <c r="I165" s="19">
        <f>E165*50/C165</f>
        <v>1.5384615384615385E-2</v>
      </c>
      <c r="J165" s="18">
        <f>C165-(E165*1080)</f>
        <v>48521.604502904156</v>
      </c>
      <c r="K165" s="31"/>
      <c r="L165" s="31"/>
    </row>
    <row r="166" spans="1:16">
      <c r="A166" s="88"/>
      <c r="B166" s="82">
        <f>B165+7</f>
        <v>43793</v>
      </c>
      <c r="C166" s="20">
        <f>D165+G165-H165</f>
        <v>75577.430055214762</v>
      </c>
      <c r="D166" s="17">
        <f>C166+(C166*0.04)</f>
        <v>78600.527257423353</v>
      </c>
      <c r="E166" s="17">
        <f>C166/3250</f>
        <v>23.254593863143004</v>
      </c>
      <c r="F166" s="28">
        <f>(D166-C166)/E166</f>
        <v>130.00000000000006</v>
      </c>
      <c r="G166" s="18"/>
      <c r="H166" s="18"/>
      <c r="I166" s="19">
        <f>E166*50/C166</f>
        <v>1.5384615384615385E-2</v>
      </c>
      <c r="J166" s="18">
        <f>C166-(E166*1080)</f>
        <v>50462.468683020314</v>
      </c>
      <c r="K166" s="31"/>
      <c r="L166" s="31"/>
    </row>
    <row r="167" spans="1:16" ht="13.5" thickBot="1">
      <c r="A167" s="89"/>
      <c r="B167" s="82">
        <f>B166+7</f>
        <v>43800</v>
      </c>
      <c r="C167" s="20">
        <f>D166+G166-H166</f>
        <v>78600.527257423353</v>
      </c>
      <c r="D167" s="17">
        <f>C167+(C167*0.04)</f>
        <v>81744.548347720294</v>
      </c>
      <c r="E167" s="17">
        <f>C167/3250</f>
        <v>24.184777617668725</v>
      </c>
      <c r="F167" s="28">
        <f>(D167-C167)/E167</f>
        <v>130.00000000000028</v>
      </c>
      <c r="G167" s="81"/>
      <c r="H167" s="81">
        <f>(D167-C154)*0.35</f>
        <v>10740.500620667715</v>
      </c>
      <c r="I167" s="19">
        <f>E167*50/C167</f>
        <v>1.5384615384615384E-2</v>
      </c>
      <c r="J167" s="18">
        <f>C167-(E167*1080)</f>
        <v>52480.96743034113</v>
      </c>
      <c r="K167" s="90" t="s">
        <v>44</v>
      </c>
      <c r="L167" s="91"/>
      <c r="M167" s="91"/>
      <c r="N167" s="91"/>
      <c r="O167" s="91"/>
      <c r="P167" s="91"/>
    </row>
    <row r="168" spans="1:16" ht="13.5" thickBot="1">
      <c r="A168" s="79"/>
      <c r="B168" s="13"/>
      <c r="C168" s="22"/>
      <c r="D168" s="23"/>
      <c r="E168" s="23"/>
      <c r="F168" s="27"/>
      <c r="G168" s="23"/>
      <c r="H168" s="10"/>
      <c r="I168" s="24"/>
      <c r="J168" s="25"/>
    </row>
    <row r="169" spans="1:16">
      <c r="A169" s="87">
        <v>34</v>
      </c>
      <c r="B169" s="82">
        <f>B167+7</f>
        <v>43807</v>
      </c>
      <c r="C169" s="20">
        <f>D167+G167-H167</f>
        <v>71004.047727052573</v>
      </c>
      <c r="D169" s="17">
        <f>C169+(C169*0.04)</f>
        <v>73844.209636134678</v>
      </c>
      <c r="E169" s="17">
        <f>C169/3250</f>
        <v>21.847399300631562</v>
      </c>
      <c r="F169" s="28">
        <f>(D169-C169)/E169</f>
        <v>130.00000000000006</v>
      </c>
      <c r="G169" s="18"/>
      <c r="H169" s="18"/>
      <c r="I169" s="19">
        <f>E169*50/C169</f>
        <v>1.5384615384615384E-2</v>
      </c>
      <c r="J169" s="18">
        <f>C169-(E169*1080)</f>
        <v>47408.856482370487</v>
      </c>
    </row>
    <row r="170" spans="1:16">
      <c r="A170" s="88"/>
      <c r="B170" s="82">
        <f>B169+7</f>
        <v>43814</v>
      </c>
      <c r="C170" s="20">
        <f>D169+G169-H169</f>
        <v>73844.209636134678</v>
      </c>
      <c r="D170" s="17">
        <f>C170+(C170*0.04)</f>
        <v>76797.978021580071</v>
      </c>
      <c r="E170" s="17">
        <f>C170/3250</f>
        <v>22.721295272656825</v>
      </c>
      <c r="F170" s="28">
        <f>(D170-C170)/E170</f>
        <v>130.00000000000028</v>
      </c>
      <c r="G170" s="18"/>
      <c r="H170" s="18"/>
      <c r="I170" s="19">
        <f>E170*50/C170</f>
        <v>1.5384615384615385E-2</v>
      </c>
      <c r="J170" s="18">
        <f>C170-(E170*1080)</f>
        <v>49305.210741665302</v>
      </c>
    </row>
    <row r="171" spans="1:16">
      <c r="A171" s="88"/>
      <c r="B171" s="82">
        <f>B170+7</f>
        <v>43821</v>
      </c>
      <c r="C171" s="20">
        <f>D170+G170-H170</f>
        <v>76797.978021580071</v>
      </c>
      <c r="D171" s="17">
        <f>C171+(C171*0.04)</f>
        <v>79869.897142443268</v>
      </c>
      <c r="E171" s="17">
        <f>C171/3250</f>
        <v>23.630147083563099</v>
      </c>
      <c r="F171" s="28">
        <f>(D171-C171)/E171</f>
        <v>129.99999999999972</v>
      </c>
      <c r="G171" s="18"/>
      <c r="H171" s="18"/>
      <c r="I171" s="19">
        <f>E171*50/C171</f>
        <v>1.5384615384615384E-2</v>
      </c>
      <c r="J171" s="18">
        <f>C171-(E171*1080)</f>
        <v>51277.419171331923</v>
      </c>
    </row>
    <row r="172" spans="1:16" ht="13.5" thickBot="1">
      <c r="A172" s="89"/>
      <c r="B172" s="82">
        <f>B171+7</f>
        <v>43828</v>
      </c>
      <c r="C172" s="20">
        <f>D171+G171-H171</f>
        <v>79869.897142443268</v>
      </c>
      <c r="D172" s="17">
        <f>C172+(C172*0.04)</f>
        <v>83064.693028141002</v>
      </c>
      <c r="E172" s="17">
        <f>C172/3250</f>
        <v>24.575352966905619</v>
      </c>
      <c r="F172" s="28">
        <f>(D172-C172)/E172</f>
        <v>130.00000000000017</v>
      </c>
      <c r="G172" s="81"/>
      <c r="H172" s="81"/>
      <c r="I172" s="19">
        <f>E172*50/C172</f>
        <v>1.5384615384615384E-2</v>
      </c>
      <c r="J172" s="18">
        <f>C172-(E172*1080)</f>
        <v>53328.515938185199</v>
      </c>
      <c r="K172" s="95"/>
      <c r="L172" s="96"/>
      <c r="M172" s="96"/>
      <c r="N172" s="96"/>
      <c r="O172" s="96"/>
      <c r="P172" s="96"/>
    </row>
    <row r="173" spans="1:16" ht="13.5" thickBot="1">
      <c r="A173" s="79"/>
      <c r="B173" s="13"/>
      <c r="C173" s="22"/>
      <c r="D173" s="23"/>
      <c r="E173" s="23"/>
      <c r="F173" s="27"/>
      <c r="G173" s="23"/>
      <c r="H173" s="10"/>
      <c r="I173" s="24"/>
      <c r="J173" s="25"/>
    </row>
    <row r="174" spans="1:16">
      <c r="A174" s="87">
        <v>35</v>
      </c>
      <c r="B174" s="82">
        <f>B172+7</f>
        <v>43835</v>
      </c>
      <c r="C174" s="20">
        <f>D172+G172-H172</f>
        <v>83064.693028141002</v>
      </c>
      <c r="D174" s="17">
        <f>C174+(C174*0.04)</f>
        <v>86387.280749266647</v>
      </c>
      <c r="E174" s="17">
        <f>C174/3250</f>
        <v>25.558367085581846</v>
      </c>
      <c r="F174" s="28">
        <f>(D174-C174)/E174</f>
        <v>130.0000000000002</v>
      </c>
      <c r="G174" s="18"/>
      <c r="H174" s="18"/>
      <c r="I174" s="19">
        <f>E174*50/C174</f>
        <v>1.5384615384615384E-2</v>
      </c>
      <c r="J174" s="18">
        <f>C174-(E174*1080)</f>
        <v>55461.656575712608</v>
      </c>
    </row>
    <row r="175" spans="1:16">
      <c r="A175" s="88"/>
      <c r="B175" s="82">
        <f>B174+7</f>
        <v>43842</v>
      </c>
      <c r="C175" s="20">
        <f>D174+G174-H174</f>
        <v>86387.280749266647</v>
      </c>
      <c r="D175" s="17">
        <f>C175+(C175*0.04)</f>
        <v>89842.77197923731</v>
      </c>
      <c r="E175" s="17">
        <f>C175/3250</f>
        <v>26.580701769005124</v>
      </c>
      <c r="F175" s="28">
        <f>(D175-C175)/E175</f>
        <v>129.99999999999989</v>
      </c>
      <c r="G175" s="18"/>
      <c r="H175" s="18"/>
      <c r="I175" s="19">
        <f>E175*50/C175</f>
        <v>1.5384615384615385E-2</v>
      </c>
      <c r="J175" s="18">
        <f>C175-(E175*1080)</f>
        <v>57680.12283874111</v>
      </c>
    </row>
    <row r="176" spans="1:16">
      <c r="A176" s="88"/>
      <c r="B176" s="82">
        <f>B175+7</f>
        <v>43849</v>
      </c>
      <c r="C176" s="20">
        <f>D175+G175-H175</f>
        <v>89842.77197923731</v>
      </c>
      <c r="D176" s="17">
        <f>C176+(C176*0.04)</f>
        <v>93436.482858406802</v>
      </c>
      <c r="E176" s="17">
        <f>C176/3250</f>
        <v>27.643929839765327</v>
      </c>
      <c r="F176" s="28">
        <f>(D176-C176)/E176</f>
        <v>129.99999999999997</v>
      </c>
      <c r="G176" s="18"/>
      <c r="H176" s="18"/>
      <c r="I176" s="19">
        <f>E176*50/C176</f>
        <v>1.5384615384615385E-2</v>
      </c>
      <c r="J176" s="18">
        <f>C176-(E176*1080)</f>
        <v>59987.327752290759</v>
      </c>
    </row>
    <row r="177" spans="1:16" ht="13.5" thickBot="1">
      <c r="A177" s="89"/>
      <c r="B177" s="82">
        <f>B176+7</f>
        <v>43856</v>
      </c>
      <c r="C177" s="20">
        <f>D176+G176-H176</f>
        <v>93436.482858406802</v>
      </c>
      <c r="D177" s="17">
        <f>C177+(C177*0.04)</f>
        <v>97173.942172743074</v>
      </c>
      <c r="E177" s="17">
        <f>C177/3250</f>
        <v>28.74968703335594</v>
      </c>
      <c r="F177" s="28">
        <f>(D177-C177)/E177</f>
        <v>130.00000000000003</v>
      </c>
      <c r="G177" s="81"/>
      <c r="H177" s="81">
        <f>(D177-C169)*0.35</f>
        <v>9159.463055991675</v>
      </c>
      <c r="I177" s="19">
        <f>E177*50/C177</f>
        <v>1.5384615384615385E-2</v>
      </c>
      <c r="J177" s="18">
        <f>C177-(E177*1080)</f>
        <v>62386.820862382388</v>
      </c>
      <c r="K177" s="90" t="s">
        <v>44</v>
      </c>
      <c r="L177" s="91"/>
      <c r="M177" s="91"/>
      <c r="N177" s="91"/>
      <c r="O177" s="91"/>
      <c r="P177" s="91"/>
    </row>
    <row r="178" spans="1:16" ht="13.5" thickBot="1">
      <c r="A178" s="79"/>
      <c r="B178" s="13"/>
      <c r="C178" s="22"/>
      <c r="D178" s="23"/>
      <c r="E178" s="23"/>
      <c r="F178" s="27"/>
      <c r="G178" s="23"/>
      <c r="H178" s="10"/>
      <c r="I178" s="24"/>
      <c r="J178" s="25"/>
    </row>
  </sheetData>
  <mergeCells count="71"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A14:A17"/>
    <mergeCell ref="K17:P17"/>
    <mergeCell ref="B1:J1"/>
    <mergeCell ref="A4:A7"/>
    <mergeCell ref="K7:P7"/>
    <mergeCell ref="A9:A12"/>
    <mergeCell ref="K12:P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15" sqref="C15"/>
    </sheetView>
  </sheetViews>
  <sheetFormatPr defaultRowHeight="12.75"/>
  <cols>
    <col min="1" max="1" width="9.5703125" style="75" bestFit="1" customWidth="1"/>
    <col min="2" max="2" width="9.7109375" style="76" bestFit="1" customWidth="1"/>
    <col min="3" max="3" width="10.85546875" style="76" bestFit="1" customWidth="1"/>
    <col min="4" max="4" width="15.7109375" style="76" bestFit="1" customWidth="1"/>
    <col min="5" max="5" width="7.85546875" style="76" bestFit="1" customWidth="1"/>
    <col min="6" max="6" width="6.28515625" style="76" bestFit="1" customWidth="1"/>
    <col min="7" max="7" width="8.7109375" style="76" bestFit="1" customWidth="1"/>
    <col min="8" max="8" width="9.5703125" style="76" bestFit="1" customWidth="1"/>
    <col min="9" max="9" width="9" style="76" bestFit="1" customWidth="1"/>
    <col min="10" max="10" width="10.85546875" style="76" bestFit="1" customWidth="1"/>
    <col min="11" max="16384" width="9.140625" style="76"/>
  </cols>
  <sheetData>
    <row r="1" spans="1:16" ht="13.5" thickBot="1">
      <c r="B1" s="92"/>
      <c r="C1" s="93"/>
      <c r="D1" s="93"/>
      <c r="E1" s="93"/>
      <c r="F1" s="93"/>
      <c r="G1" s="93"/>
      <c r="H1" s="93"/>
      <c r="I1" s="93"/>
      <c r="J1" s="94"/>
    </row>
    <row r="2" spans="1:16" ht="13.5" thickBot="1">
      <c r="A2" s="77" t="s">
        <v>41</v>
      </c>
      <c r="B2" s="3" t="s">
        <v>3</v>
      </c>
      <c r="C2" s="4" t="s">
        <v>47</v>
      </c>
      <c r="D2" s="5" t="s">
        <v>48</v>
      </c>
      <c r="E2" s="5" t="s">
        <v>49</v>
      </c>
      <c r="F2" s="5" t="s">
        <v>50</v>
      </c>
      <c r="G2" s="5" t="s">
        <v>6</v>
      </c>
      <c r="H2" s="5" t="s">
        <v>6</v>
      </c>
      <c r="I2" s="14" t="s">
        <v>42</v>
      </c>
      <c r="J2" s="14" t="s">
        <v>43</v>
      </c>
    </row>
    <row r="3" spans="1:16" ht="13.5" thickBot="1">
      <c r="A3" s="78"/>
      <c r="B3" s="3" t="s">
        <v>8</v>
      </c>
      <c r="C3" s="7" t="s">
        <v>9</v>
      </c>
      <c r="D3" s="8" t="s">
        <v>9</v>
      </c>
      <c r="E3" s="8" t="s">
        <v>17</v>
      </c>
      <c r="F3" s="8" t="s">
        <v>18</v>
      </c>
      <c r="G3" s="8" t="s">
        <v>10</v>
      </c>
      <c r="H3" s="8" t="s">
        <v>11</v>
      </c>
      <c r="I3" s="14" t="s">
        <v>19</v>
      </c>
      <c r="J3" s="14" t="s">
        <v>20</v>
      </c>
    </row>
    <row r="4" spans="1:16">
      <c r="A4" s="87">
        <v>1</v>
      </c>
      <c r="B4" s="82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18">
        <f>C4-(E4*1080)</f>
        <v>1335.3846153846152</v>
      </c>
    </row>
    <row r="5" spans="1:16">
      <c r="A5" s="88"/>
      <c r="B5" s="82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18">
        <f>C5-(E5*1080)</f>
        <v>1382.123076923077</v>
      </c>
    </row>
    <row r="6" spans="1:16">
      <c r="A6" s="88"/>
      <c r="B6" s="82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18">
        <f>C6-(E6*1080)</f>
        <v>1563.4576246153847</v>
      </c>
    </row>
    <row r="7" spans="1:16" ht="13.5" thickBot="1">
      <c r="A7" s="89"/>
      <c r="B7" s="82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18">
        <f>C7-(E7*1080)</f>
        <v>1585.3460313600001</v>
      </c>
      <c r="K7" s="95"/>
      <c r="L7" s="96"/>
      <c r="M7" s="96"/>
      <c r="N7" s="96"/>
      <c r="O7" s="96"/>
      <c r="P7" s="96"/>
    </row>
    <row r="8" spans="1:16" ht="13.5" thickBot="1">
      <c r="A8" s="79"/>
      <c r="B8" s="13"/>
      <c r="C8" s="22"/>
      <c r="D8" s="23"/>
      <c r="E8" s="23"/>
      <c r="F8" s="27"/>
      <c r="G8" s="23"/>
      <c r="H8" s="10"/>
      <c r="I8" s="24"/>
      <c r="J8" s="25"/>
    </row>
    <row r="9" spans="1:16">
      <c r="A9" s="87">
        <v>2</v>
      </c>
      <c r="B9" s="82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18">
        <f>C9-(E9*1080)</f>
        <v>1585.3460313600001</v>
      </c>
    </row>
    <row r="10" spans="1:16">
      <c r="A10" s="88"/>
      <c r="B10" s="82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18">
        <f>C10-(E10*1080)</f>
        <v>1609.1262218304</v>
      </c>
    </row>
    <row r="11" spans="1:16">
      <c r="A11" s="88"/>
      <c r="B11" s="82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18">
        <f>C11-(E11*1080)</f>
        <v>1696.0190378092416</v>
      </c>
    </row>
    <row r="12" spans="1:16" ht="13.5" thickBot="1">
      <c r="A12" s="89"/>
      <c r="B12" s="82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18">
        <f>C12-(E12*1080)</f>
        <v>1777.936757335428</v>
      </c>
      <c r="K12" s="95"/>
      <c r="L12" s="96"/>
      <c r="M12" s="96"/>
      <c r="N12" s="96"/>
      <c r="O12" s="96"/>
      <c r="P12" s="96"/>
    </row>
    <row r="13" spans="1:16" ht="13.5" thickBot="1">
      <c r="A13" s="79"/>
      <c r="B13" s="13"/>
      <c r="C13" s="22"/>
      <c r="D13" s="23"/>
      <c r="E13" s="23"/>
      <c r="F13" s="27"/>
      <c r="G13" s="23"/>
      <c r="H13" s="10"/>
      <c r="I13" s="24"/>
      <c r="J13" s="25"/>
    </row>
    <row r="14" spans="1:16">
      <c r="A14" s="87">
        <v>3</v>
      </c>
      <c r="B14" s="82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18">
        <f>C14-(E14*1080)</f>
        <v>1646.3694372926061</v>
      </c>
    </row>
    <row r="15" spans="1:16" ht="15">
      <c r="A15" s="88"/>
      <c r="B15" s="82">
        <f>B14+7</f>
        <v>42946</v>
      </c>
      <c r="C15" s="32">
        <f>D14+G14-H14</f>
        <v>2571.0486589222355</v>
      </c>
      <c r="D15" s="17">
        <f>C15+(C15*0.04)</f>
        <v>2673.8906052791249</v>
      </c>
      <c r="E15" s="17">
        <f>C15/3250</f>
        <v>0.7910918950529956</v>
      </c>
      <c r="F15" s="28">
        <f>(D15-C15)/E15</f>
        <v>129.99999999999991</v>
      </c>
      <c r="G15" s="18"/>
      <c r="H15" s="18"/>
      <c r="I15" s="19">
        <f>E15*50/C15</f>
        <v>1.5384615384615384E-2</v>
      </c>
      <c r="J15" s="18">
        <f>C15-(E15*1080)</f>
        <v>1716.6694122650001</v>
      </c>
    </row>
    <row r="16" spans="1:16">
      <c r="A16" s="88"/>
      <c r="B16" s="82">
        <f>B15+7</f>
        <v>42953</v>
      </c>
      <c r="C16" s="20">
        <f>D15+G15-H15</f>
        <v>2673.8906052791249</v>
      </c>
      <c r="D16" s="17">
        <f>C16+(C16*0.04)</f>
        <v>2780.8462294902897</v>
      </c>
      <c r="E16" s="17">
        <f>C16/3250</f>
        <v>0.82273557085511539</v>
      </c>
      <c r="F16" s="28">
        <f>(D16-C16)/E16</f>
        <v>129.9999999999998</v>
      </c>
      <c r="G16" s="18"/>
      <c r="H16" s="18"/>
      <c r="I16" s="19">
        <f>E16*50/C16</f>
        <v>1.5384615384615385E-2</v>
      </c>
      <c r="J16" s="18">
        <f>C16-(E16*1080)</f>
        <v>1785.3361887556002</v>
      </c>
    </row>
    <row r="17" spans="1:16" ht="13.5" thickBot="1">
      <c r="A17" s="89"/>
      <c r="B17" s="82">
        <f>B16+7</f>
        <v>42960</v>
      </c>
      <c r="C17" s="20">
        <f>D16+G16-H16</f>
        <v>2780.8462294902897</v>
      </c>
      <c r="D17" s="17">
        <f>C17+(C17*0.04)</f>
        <v>2892.0800786699015</v>
      </c>
      <c r="E17" s="17">
        <f>C17/3250</f>
        <v>0.8556449936893199</v>
      </c>
      <c r="F17" s="28">
        <f>(D17-C17)/E17</f>
        <v>130.0000000000002</v>
      </c>
      <c r="G17" s="18"/>
      <c r="H17" s="81">
        <f>(D17-C4)*0.3</f>
        <v>267.62402360097042</v>
      </c>
      <c r="I17" s="19">
        <f>E17*50/C17</f>
        <v>1.5384615384615384E-2</v>
      </c>
      <c r="J17" s="18">
        <f>C17-(E17*1080)</f>
        <v>1856.7496363058242</v>
      </c>
      <c r="K17" s="90" t="s">
        <v>45</v>
      </c>
      <c r="L17" s="91"/>
      <c r="M17" s="91"/>
      <c r="N17" s="91"/>
      <c r="O17" s="91"/>
      <c r="P17" s="91"/>
    </row>
    <row r="18" spans="1:16" ht="13.5" thickBot="1">
      <c r="A18" s="79"/>
      <c r="B18" s="13"/>
      <c r="C18" s="22"/>
      <c r="D18" s="23"/>
      <c r="E18" s="23"/>
      <c r="F18" s="27"/>
      <c r="G18" s="23"/>
      <c r="H18" s="10"/>
      <c r="I18" s="24"/>
      <c r="J18" s="25"/>
    </row>
    <row r="19" spans="1:16">
      <c r="A19" s="87">
        <v>4</v>
      </c>
      <c r="B19" s="82">
        <f>B17+7</f>
        <v>42967</v>
      </c>
      <c r="C19" s="20">
        <f>D17+G17-H17</f>
        <v>2624.4560550689312</v>
      </c>
      <c r="D19" s="17">
        <f>C19+(C19*0.04)</f>
        <v>2729.4342972716886</v>
      </c>
      <c r="E19" s="17">
        <f>C19/3250</f>
        <v>0.80752494002120956</v>
      </c>
      <c r="F19" s="28">
        <f>(D19-C19)/E19</f>
        <v>130.00000000000023</v>
      </c>
      <c r="G19" s="18"/>
      <c r="H19" s="18"/>
      <c r="I19" s="19">
        <f>E19*50/C19</f>
        <v>1.5384615384615384E-2</v>
      </c>
      <c r="J19" s="18">
        <f>C19-(E19*1080)</f>
        <v>1752.3291198460247</v>
      </c>
    </row>
    <row r="20" spans="1:16">
      <c r="A20" s="88"/>
      <c r="B20" s="82">
        <f>B19+7</f>
        <v>42974</v>
      </c>
      <c r="C20" s="20">
        <f>D19+G19-H19</f>
        <v>2729.4342972716886</v>
      </c>
      <c r="D20" s="17">
        <f>C20+(C20*0.04)</f>
        <v>2838.6116691625562</v>
      </c>
      <c r="E20" s="17">
        <f>C20/3250</f>
        <v>0.83982593762205804</v>
      </c>
      <c r="F20" s="28">
        <f>(D20-C20)/E20</f>
        <v>130.00000000000003</v>
      </c>
      <c r="G20" s="18"/>
      <c r="H20" s="18"/>
      <c r="I20" s="19">
        <f>E20*50/C20</f>
        <v>1.5384615384615385E-2</v>
      </c>
      <c r="J20" s="18">
        <f>C20-(E20*1080)</f>
        <v>1822.4222846398659</v>
      </c>
    </row>
    <row r="21" spans="1:16">
      <c r="A21" s="88"/>
      <c r="B21" s="82">
        <f>B20+7</f>
        <v>42981</v>
      </c>
      <c r="C21" s="20">
        <f>D20+G20-H20</f>
        <v>2838.6116691625562</v>
      </c>
      <c r="D21" s="17">
        <f>C21+(C21*0.04)</f>
        <v>2952.1561359290586</v>
      </c>
      <c r="E21" s="17">
        <f>C21/3250</f>
        <v>0.87341897512694033</v>
      </c>
      <c r="F21" s="28">
        <f>(D21-C21)/E21</f>
        <v>130.0000000000002</v>
      </c>
      <c r="G21" s="18"/>
      <c r="H21" s="18"/>
      <c r="I21" s="19">
        <f>E21*50/C21</f>
        <v>1.5384615384615384E-2</v>
      </c>
      <c r="J21" s="18">
        <f>C21-(E21*1080)</f>
        <v>1895.3191760254606</v>
      </c>
    </row>
    <row r="22" spans="1:16" ht="13.5" thickBot="1">
      <c r="A22" s="89"/>
      <c r="B22" s="82">
        <f>B21+7</f>
        <v>42988</v>
      </c>
      <c r="C22" s="20">
        <f>D21+G21-H21</f>
        <v>2952.1561359290586</v>
      </c>
      <c r="D22" s="17">
        <f>C22+(C22*0.04)</f>
        <v>3070.2423813662208</v>
      </c>
      <c r="E22" s="17">
        <f>C22/3250</f>
        <v>0.90835573413201798</v>
      </c>
      <c r="F22" s="28">
        <f>(D22-C22)/E22</f>
        <v>129.99999999999989</v>
      </c>
      <c r="G22" s="18"/>
      <c r="H22" s="18"/>
      <c r="I22" s="19">
        <f>E22*50/C22</f>
        <v>1.5384615384615384E-2</v>
      </c>
      <c r="J22" s="18">
        <f>C22-(E22*1080)</f>
        <v>1971.1319430664792</v>
      </c>
      <c r="K22" s="95"/>
      <c r="L22" s="96"/>
      <c r="M22" s="96"/>
      <c r="N22" s="96"/>
      <c r="O22" s="96"/>
      <c r="P22" s="96"/>
    </row>
    <row r="23" spans="1:16" ht="13.5" thickBot="1">
      <c r="A23" s="79"/>
      <c r="B23" s="13"/>
      <c r="C23" s="22"/>
      <c r="D23" s="23"/>
      <c r="E23" s="23"/>
      <c r="F23" s="27"/>
      <c r="G23" s="23"/>
      <c r="H23" s="10"/>
      <c r="I23" s="24"/>
      <c r="J23" s="25"/>
    </row>
    <row r="24" spans="1:16">
      <c r="A24" s="87">
        <v>5</v>
      </c>
      <c r="B24" s="82">
        <f>B22+7</f>
        <v>42995</v>
      </c>
      <c r="C24" s="20">
        <f>D22+G22-H22</f>
        <v>3070.2423813662208</v>
      </c>
      <c r="D24" s="17">
        <f>C24+(C24*0.04)</f>
        <v>3193.0520766208697</v>
      </c>
      <c r="E24" s="17">
        <f>C24/3250</f>
        <v>0.94468996349729872</v>
      </c>
      <c r="F24" s="28">
        <f>(D24-C24)/E24</f>
        <v>130.00000000000006</v>
      </c>
      <c r="G24" s="18"/>
      <c r="H24" s="18"/>
      <c r="I24" s="19">
        <f>E24*50/C24</f>
        <v>1.5384615384615385E-2</v>
      </c>
      <c r="J24" s="18">
        <f>C24-(E24*1080)</f>
        <v>2049.9772207891383</v>
      </c>
    </row>
    <row r="25" spans="1:16">
      <c r="A25" s="88"/>
      <c r="B25" s="82">
        <f>B24+7</f>
        <v>43002</v>
      </c>
      <c r="C25" s="20">
        <f>D24+G24-H24</f>
        <v>3193.0520766208697</v>
      </c>
      <c r="D25" s="17">
        <f>C25+(C25*0.04)</f>
        <v>3320.7741596857045</v>
      </c>
      <c r="E25" s="17">
        <f>C25/3250</f>
        <v>0.98247756203719072</v>
      </c>
      <c r="F25" s="28">
        <f>(D25-C25)/E25</f>
        <v>130</v>
      </c>
      <c r="G25" s="18"/>
      <c r="H25" s="18"/>
      <c r="I25" s="19">
        <f>E25*50/C25</f>
        <v>1.5384615384615385E-2</v>
      </c>
      <c r="J25" s="18">
        <f>C25-(E25*1080)</f>
        <v>2131.9763096207034</v>
      </c>
    </row>
    <row r="26" spans="1:16">
      <c r="A26" s="88"/>
      <c r="B26" s="82">
        <f>B25+7</f>
        <v>43009</v>
      </c>
      <c r="C26" s="20">
        <f>D25+G25-H25</f>
        <v>3320.7741596857045</v>
      </c>
      <c r="D26" s="17">
        <f>C26+(C26*0.04)</f>
        <v>3453.6051260731329</v>
      </c>
      <c r="E26" s="17">
        <f>C26/3250</f>
        <v>1.0217766645186783</v>
      </c>
      <c r="F26" s="28">
        <f>(D26-C26)/E26</f>
        <v>130.00000000000017</v>
      </c>
      <c r="G26" s="18"/>
      <c r="H26" s="18"/>
      <c r="I26" s="19">
        <f>E26*50/C26</f>
        <v>1.5384615384615385E-2</v>
      </c>
      <c r="J26" s="18">
        <f>C26-(E26*1080)</f>
        <v>2217.2553620055319</v>
      </c>
    </row>
    <row r="27" spans="1:16" ht="13.5" thickBot="1">
      <c r="A27" s="89"/>
      <c r="B27" s="82">
        <f>B26+7</f>
        <v>43016</v>
      </c>
      <c r="C27" s="20">
        <f>D26+G26-H26</f>
        <v>3453.6051260731329</v>
      </c>
      <c r="D27" s="17">
        <f>C27+(C27*0.04)</f>
        <v>3591.7493311160583</v>
      </c>
      <c r="E27" s="17">
        <f>C27/3250</f>
        <v>1.0626477310994256</v>
      </c>
      <c r="F27" s="28">
        <f>(D27-C27)/E27</f>
        <v>130.00000000000014</v>
      </c>
      <c r="G27" s="18"/>
      <c r="H27" s="18"/>
      <c r="I27" s="19">
        <f>E27*50/C27</f>
        <v>1.5384615384615385E-2</v>
      </c>
      <c r="J27" s="18">
        <f>C27-(E27*1080)</f>
        <v>2305.945576485753</v>
      </c>
      <c r="K27" s="95"/>
      <c r="L27" s="96"/>
      <c r="M27" s="96"/>
      <c r="N27" s="96"/>
      <c r="O27" s="96"/>
      <c r="P27" s="96"/>
    </row>
    <row r="28" spans="1:16" ht="13.5" thickBot="1">
      <c r="A28" s="79"/>
      <c r="B28" s="13"/>
      <c r="C28" s="22"/>
      <c r="D28" s="23"/>
      <c r="E28" s="23"/>
      <c r="F28" s="27"/>
      <c r="G28" s="23"/>
      <c r="H28" s="10"/>
      <c r="I28" s="24"/>
      <c r="J28" s="25"/>
    </row>
    <row r="29" spans="1:16">
      <c r="A29" s="87">
        <v>6</v>
      </c>
      <c r="B29" s="82">
        <f>B27+7</f>
        <v>43023</v>
      </c>
      <c r="C29" s="20">
        <f>D27+G27-H27</f>
        <v>3591.7493311160583</v>
      </c>
      <c r="D29" s="17">
        <f>C29+(C29*0.04)</f>
        <v>3735.4193043607006</v>
      </c>
      <c r="E29" s="17">
        <f>C29/3250</f>
        <v>1.1051536403434026</v>
      </c>
      <c r="F29" s="28">
        <f>(D29-C29)/E29</f>
        <v>129.99999999999994</v>
      </c>
      <c r="G29" s="18"/>
      <c r="H29" s="18"/>
      <c r="I29" s="19">
        <f>E29*50/C29</f>
        <v>1.5384615384615384E-2</v>
      </c>
      <c r="J29" s="18">
        <f>C29-(E29*1080)</f>
        <v>2398.1833995451834</v>
      </c>
    </row>
    <row r="30" spans="1:16">
      <c r="A30" s="88"/>
      <c r="B30" s="82">
        <f>B29+7</f>
        <v>43030</v>
      </c>
      <c r="C30" s="20">
        <f>D29+G29-H29</f>
        <v>3735.4193043607006</v>
      </c>
      <c r="D30" s="17">
        <f>C30+(C30*0.04)</f>
        <v>3884.8360765351285</v>
      </c>
      <c r="E30" s="17">
        <f>C30/3250</f>
        <v>1.1493597859571387</v>
      </c>
      <c r="F30" s="28">
        <f>(D30-C30)/E30</f>
        <v>129.99999999999991</v>
      </c>
      <c r="G30" s="18"/>
      <c r="H30" s="18"/>
      <c r="I30" s="19">
        <f>E30*50/C30</f>
        <v>1.5384615384615385E-2</v>
      </c>
      <c r="J30" s="18">
        <f>C30-(E30*1080)</f>
        <v>2494.1107355269905</v>
      </c>
    </row>
    <row r="31" spans="1:16">
      <c r="A31" s="88"/>
      <c r="B31" s="82">
        <f>B30+7</f>
        <v>43037</v>
      </c>
      <c r="C31" s="20">
        <f>D30+G30-H30</f>
        <v>3884.8360765351285</v>
      </c>
      <c r="D31" s="17">
        <f>C31+(C31*0.04)</f>
        <v>4040.2295195965335</v>
      </c>
      <c r="E31" s="17">
        <f>C31/3250</f>
        <v>1.1953341773954242</v>
      </c>
      <c r="F31" s="28">
        <f>(D31-C31)/E31</f>
        <v>129.9999999999998</v>
      </c>
      <c r="G31" s="18"/>
      <c r="H31" s="18"/>
      <c r="I31" s="19">
        <f>E31*50/C31</f>
        <v>1.5384615384615385E-2</v>
      </c>
      <c r="J31" s="18">
        <f>C31-(E31*1080)</f>
        <v>2593.8751649480701</v>
      </c>
    </row>
    <row r="32" spans="1:16" ht="13.5" thickBot="1">
      <c r="A32" s="89"/>
      <c r="B32" s="82">
        <f>B31+7</f>
        <v>43044</v>
      </c>
      <c r="C32" s="20">
        <f>D31+G31-H31</f>
        <v>4040.2295195965335</v>
      </c>
      <c r="D32" s="17">
        <f>C32+(C32*0.04)</f>
        <v>4201.8387003803946</v>
      </c>
      <c r="E32" s="17">
        <f>C32/3250</f>
        <v>1.243147544491241</v>
      </c>
      <c r="F32" s="28">
        <f>(D32-C32)/E32</f>
        <v>129.99999999999983</v>
      </c>
      <c r="G32" s="18"/>
      <c r="H32" s="81">
        <f>(D32-C19)*0.35</f>
        <v>552.0839258590122</v>
      </c>
      <c r="I32" s="19">
        <f>E32*50/C32</f>
        <v>1.5384615384615384E-2</v>
      </c>
      <c r="J32" s="18">
        <f>C32-(E32*1080)</f>
        <v>2697.6301715459931</v>
      </c>
      <c r="K32" s="90" t="s">
        <v>44</v>
      </c>
      <c r="L32" s="91"/>
      <c r="M32" s="91"/>
      <c r="N32" s="91"/>
      <c r="O32" s="91"/>
      <c r="P32" s="91"/>
    </row>
    <row r="33" spans="1:16" ht="13.5" thickBot="1">
      <c r="A33" s="79"/>
      <c r="B33" s="13"/>
      <c r="C33" s="22"/>
      <c r="D33" s="23"/>
      <c r="E33" s="23"/>
      <c r="F33" s="27"/>
      <c r="G33" s="23"/>
      <c r="H33" s="10"/>
      <c r="I33" s="24"/>
      <c r="J33" s="25"/>
    </row>
    <row r="34" spans="1:16">
      <c r="A34" s="87">
        <v>7</v>
      </c>
      <c r="B34" s="82">
        <f>B32+7</f>
        <v>43051</v>
      </c>
      <c r="C34" s="20">
        <f>D32+G32-H32</f>
        <v>3649.7547745213824</v>
      </c>
      <c r="D34" s="17">
        <f>C34+(C34*0.04)</f>
        <v>3795.7449655022378</v>
      </c>
      <c r="E34" s="17">
        <f>C34/3250</f>
        <v>1.1230014690835022</v>
      </c>
      <c r="F34" s="28">
        <f>(D34-C34)/E34</f>
        <v>130.00000000000017</v>
      </c>
      <c r="G34" s="18"/>
      <c r="H34" s="18"/>
      <c r="I34" s="19">
        <f>E34*50/C34</f>
        <v>1.5384615384615382E-2</v>
      </c>
      <c r="J34" s="18">
        <f>C34-(E34*1080)</f>
        <v>2436.9131879112001</v>
      </c>
    </row>
    <row r="35" spans="1:16">
      <c r="A35" s="88"/>
      <c r="B35" s="82">
        <f>B34+7</f>
        <v>43058</v>
      </c>
      <c r="C35" s="20">
        <f>D34+G34-H34</f>
        <v>3795.7449655022378</v>
      </c>
      <c r="D35" s="17">
        <f>C35+(C35*0.04)</f>
        <v>3947.5747641223275</v>
      </c>
      <c r="E35" s="17">
        <f>C35/3250</f>
        <v>1.1679215278468424</v>
      </c>
      <c r="F35" s="28">
        <f>(D35-C35)/E35</f>
        <v>130.00000000000009</v>
      </c>
      <c r="G35" s="18"/>
      <c r="H35" s="18"/>
      <c r="I35" s="19">
        <f>E35*50/C35</f>
        <v>1.5384615384615385E-2</v>
      </c>
      <c r="J35" s="18">
        <f>C35-(E35*1080)</f>
        <v>2534.3897154276483</v>
      </c>
    </row>
    <row r="36" spans="1:16">
      <c r="A36" s="88"/>
      <c r="B36" s="82">
        <f>B35+7</f>
        <v>43065</v>
      </c>
      <c r="C36" s="20">
        <f>D35+G35-H35</f>
        <v>3947.5747641223275</v>
      </c>
      <c r="D36" s="17">
        <f>C36+(C36*0.04)</f>
        <v>4105.4777546872201</v>
      </c>
      <c r="E36" s="17">
        <f>C36/3250</f>
        <v>1.2146383889607162</v>
      </c>
      <c r="F36" s="28">
        <f>(D36-C36)/E36</f>
        <v>129.99999999999963</v>
      </c>
      <c r="G36" s="18"/>
      <c r="H36" s="18"/>
      <c r="I36" s="19">
        <f>E36*50/C36</f>
        <v>1.5384615384615385E-2</v>
      </c>
      <c r="J36" s="18">
        <f>C36-(E36*1080)</f>
        <v>2635.765304044754</v>
      </c>
    </row>
    <row r="37" spans="1:16" ht="13.5" thickBot="1">
      <c r="A37" s="89"/>
      <c r="B37" s="82">
        <f>B36+7</f>
        <v>43072</v>
      </c>
      <c r="C37" s="20">
        <f>D36+G36-H36</f>
        <v>4105.4777546872201</v>
      </c>
      <c r="D37" s="17">
        <f>C37+(C37*0.04)</f>
        <v>4269.6968648747088</v>
      </c>
      <c r="E37" s="17">
        <f>C37/3250</f>
        <v>1.2632239245191446</v>
      </c>
      <c r="F37" s="28">
        <f>(D37-C37)/E37</f>
        <v>129.99999999999991</v>
      </c>
      <c r="G37" s="81"/>
      <c r="H37" s="81"/>
      <c r="I37" s="19">
        <f>E37*50/C37</f>
        <v>1.5384615384615384E-2</v>
      </c>
      <c r="J37" s="18">
        <f>C37-(E37*1080)</f>
        <v>2741.1959162065441</v>
      </c>
      <c r="K37" s="95"/>
      <c r="L37" s="96"/>
      <c r="M37" s="96"/>
      <c r="N37" s="96"/>
      <c r="O37" s="96"/>
      <c r="P37" s="96"/>
    </row>
    <row r="38" spans="1:16" ht="13.5" thickBot="1">
      <c r="A38" s="79"/>
      <c r="B38" s="13"/>
      <c r="C38" s="22"/>
      <c r="D38" s="23"/>
      <c r="E38" s="23"/>
      <c r="F38" s="27"/>
      <c r="G38" s="23"/>
      <c r="H38" s="10"/>
      <c r="I38" s="24"/>
      <c r="J38" s="25"/>
    </row>
    <row r="39" spans="1:16">
      <c r="A39" s="87">
        <v>8</v>
      </c>
      <c r="B39" s="82">
        <f>B37+7</f>
        <v>43079</v>
      </c>
      <c r="C39" s="20">
        <f>D37+G37-H37</f>
        <v>4269.6968648747088</v>
      </c>
      <c r="D39" s="17">
        <f>C39+(C39*0.04)</f>
        <v>4440.4847394696972</v>
      </c>
      <c r="E39" s="17">
        <f>C39/3250</f>
        <v>1.3137528814999104</v>
      </c>
      <c r="F39" s="28">
        <f>(D39-C39)/E39</f>
        <v>130</v>
      </c>
      <c r="G39" s="18"/>
      <c r="H39" s="18"/>
      <c r="I39" s="19">
        <f>E39*50/C39</f>
        <v>1.5384615384615384E-2</v>
      </c>
      <c r="J39" s="18">
        <f>C39-(E39*1080)</f>
        <v>2850.8437528548056</v>
      </c>
    </row>
    <row r="40" spans="1:16">
      <c r="A40" s="88"/>
      <c r="B40" s="82">
        <f>B39+7</f>
        <v>43086</v>
      </c>
      <c r="C40" s="20">
        <f>D39+G39-H39</f>
        <v>4440.4847394696972</v>
      </c>
      <c r="D40" s="17">
        <f>C40+(C40*0.04)</f>
        <v>4618.1041290484854</v>
      </c>
      <c r="E40" s="17">
        <f>C40/3250</f>
        <v>1.3663029967599067</v>
      </c>
      <c r="F40" s="28">
        <f>(D40-C40)/E40</f>
        <v>130.00000000000031</v>
      </c>
      <c r="G40" s="18"/>
      <c r="H40" s="18"/>
      <c r="I40" s="19">
        <f>E40*50/C40</f>
        <v>1.5384615384615384E-2</v>
      </c>
      <c r="J40" s="18">
        <f>C40-(E40*1080)</f>
        <v>2964.8775029689978</v>
      </c>
    </row>
    <row r="41" spans="1:16">
      <c r="A41" s="88"/>
      <c r="B41" s="82">
        <f>B40+7</f>
        <v>43093</v>
      </c>
      <c r="C41" s="20">
        <f>D40+G40-H40</f>
        <v>4618.1041290484854</v>
      </c>
      <c r="D41" s="17">
        <f>C41+(C41*0.04)</f>
        <v>4802.8282942104252</v>
      </c>
      <c r="E41" s="17">
        <f>C41/3250</f>
        <v>1.4209551166303032</v>
      </c>
      <c r="F41" s="28">
        <f>(D41-C41)/E41</f>
        <v>130.0000000000002</v>
      </c>
      <c r="G41" s="18"/>
      <c r="H41" s="18"/>
      <c r="I41" s="19">
        <f>E41*50/C41</f>
        <v>1.5384615384615385E-2</v>
      </c>
      <c r="J41" s="18">
        <f>C41-(E41*1080)</f>
        <v>3083.4726030877582</v>
      </c>
    </row>
    <row r="42" spans="1:16" ht="13.5" thickBot="1">
      <c r="A42" s="89"/>
      <c r="B42" s="82">
        <f>B41+7</f>
        <v>43100</v>
      </c>
      <c r="C42" s="20">
        <f>D41+G41-H41</f>
        <v>4802.8282942104252</v>
      </c>
      <c r="D42" s="17">
        <f>C42+(C42*0.04)</f>
        <v>4994.9414259788418</v>
      </c>
      <c r="E42" s="17">
        <f>C42/3250</f>
        <v>1.4777933212955154</v>
      </c>
      <c r="F42" s="28">
        <f>(D42-C42)/E42</f>
        <v>129.99999999999977</v>
      </c>
      <c r="G42" s="81"/>
      <c r="H42" s="81"/>
      <c r="I42" s="19">
        <f>E42*50/C42</f>
        <v>1.5384615384615384E-2</v>
      </c>
      <c r="J42" s="18">
        <f>C42-(E42*1080)</f>
        <v>3206.8115072112687</v>
      </c>
      <c r="K42" s="95"/>
      <c r="L42" s="96"/>
      <c r="M42" s="96"/>
      <c r="N42" s="96"/>
      <c r="O42" s="96"/>
      <c r="P42" s="96"/>
    </row>
    <row r="43" spans="1:16" ht="13.5" thickBot="1">
      <c r="A43" s="79"/>
      <c r="B43" s="13"/>
      <c r="C43" s="22"/>
      <c r="D43" s="23"/>
      <c r="E43" s="23"/>
      <c r="F43" s="27"/>
      <c r="G43" s="23"/>
      <c r="H43" s="10"/>
      <c r="I43" s="24"/>
      <c r="J43" s="25"/>
    </row>
    <row r="44" spans="1:16">
      <c r="A44" s="87">
        <v>9</v>
      </c>
      <c r="B44" s="82">
        <f>B42+7</f>
        <v>43107</v>
      </c>
      <c r="C44" s="20">
        <f>D42+G42-H42</f>
        <v>4994.9414259788418</v>
      </c>
      <c r="D44" s="17">
        <f>C44+(C44*0.04)</f>
        <v>5194.7390830179957</v>
      </c>
      <c r="E44" s="17">
        <f>C44/3250</f>
        <v>1.5369050541473359</v>
      </c>
      <c r="F44" s="28">
        <f>(D44-C44)/E44</f>
        <v>130.00000000000009</v>
      </c>
      <c r="G44" s="18"/>
      <c r="H44" s="18"/>
      <c r="I44" s="19">
        <f>E44*50/C44</f>
        <v>1.5384615384615384E-2</v>
      </c>
      <c r="J44" s="18">
        <f>C44-(E44*1080)</f>
        <v>3335.0839674997187</v>
      </c>
    </row>
    <row r="45" spans="1:16">
      <c r="A45" s="88"/>
      <c r="B45" s="82">
        <f>B44+7</f>
        <v>43114</v>
      </c>
      <c r="C45" s="20">
        <f>D44+G44-H44</f>
        <v>5194.7390830179957</v>
      </c>
      <c r="D45" s="17">
        <f>C45+(C45*0.04)</f>
        <v>5402.5286463387156</v>
      </c>
      <c r="E45" s="17">
        <f>C45/3250</f>
        <v>1.5983812563132294</v>
      </c>
      <c r="F45" s="28">
        <f>(D45-C45)/E45</f>
        <v>130.00000000000009</v>
      </c>
      <c r="G45" s="18"/>
      <c r="H45" s="18"/>
      <c r="I45" s="19">
        <f>E45*50/C45</f>
        <v>1.5384615384615382E-2</v>
      </c>
      <c r="J45" s="18">
        <f>C45-(E45*1080)</f>
        <v>3468.4873261997081</v>
      </c>
    </row>
    <row r="46" spans="1:16">
      <c r="A46" s="88"/>
      <c r="B46" s="82">
        <f>B45+7</f>
        <v>43121</v>
      </c>
      <c r="C46" s="20">
        <f>D45+G45-H45</f>
        <v>5402.5286463387156</v>
      </c>
      <c r="D46" s="17">
        <f>C46+(C46*0.04)</f>
        <v>5618.6297921922642</v>
      </c>
      <c r="E46" s="17">
        <f>C46/3250</f>
        <v>1.6623165065657586</v>
      </c>
      <c r="F46" s="28">
        <f>(D46-C46)/E46</f>
        <v>129.99999999999997</v>
      </c>
      <c r="G46" s="18"/>
      <c r="H46" s="18"/>
      <c r="I46" s="19">
        <f>E46*50/C46</f>
        <v>1.5384615384615384E-2</v>
      </c>
      <c r="J46" s="18">
        <f>C46-(E46*1080)</f>
        <v>3607.2268192476963</v>
      </c>
    </row>
    <row r="47" spans="1:16" ht="13.5" thickBot="1">
      <c r="A47" s="89"/>
      <c r="B47" s="82">
        <f>B46+7</f>
        <v>43128</v>
      </c>
      <c r="C47" s="20">
        <f>D46+G46-H46</f>
        <v>5618.6297921922642</v>
      </c>
      <c r="D47" s="17">
        <f>C47+(C47*0.04)</f>
        <v>5843.3749838799549</v>
      </c>
      <c r="E47" s="17">
        <f>C47/3250</f>
        <v>1.7288091668283889</v>
      </c>
      <c r="F47" s="28">
        <f>(D47-C47)/E47</f>
        <v>130.00000000000011</v>
      </c>
      <c r="G47" s="81"/>
      <c r="H47" s="81">
        <f>(D47-C34)*0.35</f>
        <v>767.76707327550037</v>
      </c>
      <c r="I47" s="19">
        <f>E47*50/C47</f>
        <v>1.5384615384615384E-2</v>
      </c>
      <c r="J47" s="18">
        <f>C47-(E47*1080)</f>
        <v>3751.5158920176041</v>
      </c>
      <c r="K47" s="90" t="s">
        <v>44</v>
      </c>
      <c r="L47" s="91"/>
      <c r="M47" s="91"/>
      <c r="N47" s="91"/>
      <c r="O47" s="91"/>
      <c r="P47" s="91"/>
    </row>
    <row r="48" spans="1:16" ht="13.5" thickBot="1">
      <c r="A48" s="79"/>
      <c r="B48" s="13"/>
      <c r="C48" s="22"/>
      <c r="D48" s="23"/>
      <c r="E48" s="23"/>
      <c r="F48" s="27"/>
      <c r="G48" s="23"/>
      <c r="H48" s="10"/>
      <c r="I48" s="24"/>
      <c r="J48" s="25"/>
    </row>
    <row r="49" spans="1:16">
      <c r="A49" s="87">
        <v>10</v>
      </c>
      <c r="B49" s="82">
        <f>B47+7</f>
        <v>43135</v>
      </c>
      <c r="C49" s="20">
        <f>D47+G47-H47</f>
        <v>5075.6079106044544</v>
      </c>
      <c r="D49" s="17">
        <f>C49+(C49*0.04)</f>
        <v>5278.6322270286328</v>
      </c>
      <c r="E49" s="17">
        <f>C49/3250</f>
        <v>1.5617255109552168</v>
      </c>
      <c r="F49" s="28">
        <f>(D49-C49)/E49</f>
        <v>130.00000000000009</v>
      </c>
      <c r="G49" s="18"/>
      <c r="H49" s="18"/>
      <c r="I49" s="19">
        <f>E49*50/C49</f>
        <v>1.5384615384615384E-2</v>
      </c>
      <c r="J49" s="18">
        <f>C49-(E49*1080)</f>
        <v>3388.9443587728201</v>
      </c>
    </row>
    <row r="50" spans="1:16">
      <c r="A50" s="88"/>
      <c r="B50" s="82">
        <f>B49+7</f>
        <v>43142</v>
      </c>
      <c r="C50" s="20">
        <f>D49+G49-H49</f>
        <v>5278.6322270286328</v>
      </c>
      <c r="D50" s="17">
        <f>C50+(C50*0.04)</f>
        <v>5489.7775161097779</v>
      </c>
      <c r="E50" s="17">
        <f>C50/3250</f>
        <v>1.6241945313934254</v>
      </c>
      <c r="F50" s="28">
        <f>(D50-C50)/E50</f>
        <v>129.99999999999991</v>
      </c>
      <c r="G50" s="18"/>
      <c r="H50" s="18"/>
      <c r="I50" s="19">
        <f>E50*50/C50</f>
        <v>1.5384615384615385E-2</v>
      </c>
      <c r="J50" s="18">
        <f>C50-(E50*1080)</f>
        <v>3524.5021331237331</v>
      </c>
    </row>
    <row r="51" spans="1:16">
      <c r="A51" s="88"/>
      <c r="B51" s="82">
        <f>B50+7</f>
        <v>43149</v>
      </c>
      <c r="C51" s="20">
        <f>D50+G50-H50</f>
        <v>5489.7775161097779</v>
      </c>
      <c r="D51" s="17">
        <f>C51+(C51*0.04)</f>
        <v>5709.3686167541691</v>
      </c>
      <c r="E51" s="17">
        <f>C51/3250</f>
        <v>1.6891623126491624</v>
      </c>
      <c r="F51" s="28">
        <f>(D51-C51)/E51</f>
        <v>130.00000000000006</v>
      </c>
      <c r="G51" s="18"/>
      <c r="H51" s="18"/>
      <c r="I51" s="19">
        <f>E51*50/C51</f>
        <v>1.5384615384615384E-2</v>
      </c>
      <c r="J51" s="18">
        <f>C51-(E51*1080)</f>
        <v>3665.4822184486825</v>
      </c>
    </row>
    <row r="52" spans="1:16" ht="13.5" thickBot="1">
      <c r="A52" s="89"/>
      <c r="B52" s="82">
        <f>B51+7</f>
        <v>43156</v>
      </c>
      <c r="C52" s="20">
        <f>D51+G51-H51</f>
        <v>5709.3686167541691</v>
      </c>
      <c r="D52" s="17">
        <f>C52+(C52*0.04)</f>
        <v>5937.7433614243355</v>
      </c>
      <c r="E52" s="17">
        <f>C52/3250</f>
        <v>1.7567288051551289</v>
      </c>
      <c r="F52" s="28">
        <f>(D52-C52)/E52</f>
        <v>129.99999999999977</v>
      </c>
      <c r="G52" s="81"/>
      <c r="H52" s="81"/>
      <c r="I52" s="19">
        <f>E52*50/C52</f>
        <v>1.5384615384615382E-2</v>
      </c>
      <c r="J52" s="18">
        <f>C52-(E52*1080)</f>
        <v>3812.10150718663</v>
      </c>
      <c r="K52" s="95"/>
      <c r="L52" s="96"/>
      <c r="M52" s="96"/>
      <c r="N52" s="96"/>
      <c r="O52" s="96"/>
      <c r="P52" s="96"/>
    </row>
    <row r="53" spans="1:16" ht="13.5" thickBot="1">
      <c r="A53" s="79"/>
      <c r="B53" s="13"/>
      <c r="C53" s="22"/>
      <c r="D53" s="23"/>
      <c r="E53" s="23"/>
      <c r="F53" s="27"/>
      <c r="G53" s="23"/>
      <c r="H53" s="10"/>
      <c r="I53" s="24"/>
      <c r="J53" s="25"/>
    </row>
    <row r="54" spans="1:16">
      <c r="A54" s="87">
        <v>11</v>
      </c>
      <c r="B54" s="82">
        <f>B52+7</f>
        <v>43163</v>
      </c>
      <c r="C54" s="20">
        <f>D52+G52-H52</f>
        <v>5937.7433614243355</v>
      </c>
      <c r="D54" s="17">
        <f>C54+(C54*0.04)</f>
        <v>6175.2530958813086</v>
      </c>
      <c r="E54" s="17">
        <f>C54/3250</f>
        <v>1.826997957361334</v>
      </c>
      <c r="F54" s="28">
        <f>(D54-C54)/E54</f>
        <v>129.99999999999983</v>
      </c>
      <c r="G54" s="18"/>
      <c r="H54" s="18"/>
      <c r="I54" s="19">
        <f>E54*50/C54</f>
        <v>1.5384615384615385E-2</v>
      </c>
      <c r="J54" s="18">
        <f>C54-(E54*1080)</f>
        <v>3964.5855674740951</v>
      </c>
    </row>
    <row r="55" spans="1:16">
      <c r="A55" s="88"/>
      <c r="B55" s="82">
        <f>B54+7</f>
        <v>43170</v>
      </c>
      <c r="C55" s="20">
        <f>D54+G54-H54</f>
        <v>6175.2530958813086</v>
      </c>
      <c r="D55" s="17">
        <f>C55+(C55*0.04)</f>
        <v>6422.2632197165613</v>
      </c>
      <c r="E55" s="17">
        <f>C55/3250</f>
        <v>1.9000778756557872</v>
      </c>
      <c r="F55" s="28">
        <f>(D55-C55)/E55</f>
        <v>130.00000000000017</v>
      </c>
      <c r="G55" s="18"/>
      <c r="H55" s="18"/>
      <c r="I55" s="19">
        <f>E55*50/C55</f>
        <v>1.5384615384615384E-2</v>
      </c>
      <c r="J55" s="18">
        <f>C55-(E55*1080)</f>
        <v>4123.1689901730588</v>
      </c>
    </row>
    <row r="56" spans="1:16">
      <c r="A56" s="88"/>
      <c r="B56" s="82">
        <f>B55+7</f>
        <v>43177</v>
      </c>
      <c r="C56" s="20">
        <f>D55+G55-H55</f>
        <v>6422.2632197165613</v>
      </c>
      <c r="D56" s="17">
        <f>C56+(C56*0.04)</f>
        <v>6679.153748505224</v>
      </c>
      <c r="E56" s="17">
        <f>C56/3250</f>
        <v>1.9760809906820189</v>
      </c>
      <c r="F56" s="28">
        <f>(D56-C56)/E56</f>
        <v>130.00000000000017</v>
      </c>
      <c r="G56" s="18"/>
      <c r="H56" s="18"/>
      <c r="I56" s="19">
        <f>E56*50/C56</f>
        <v>1.5384615384615384E-2</v>
      </c>
      <c r="J56" s="18">
        <f>C56-(E56*1080)</f>
        <v>4288.0957497799809</v>
      </c>
    </row>
    <row r="57" spans="1:16" ht="13.5" thickBot="1">
      <c r="A57" s="89"/>
      <c r="B57" s="82">
        <f>B56+7</f>
        <v>43184</v>
      </c>
      <c r="C57" s="20">
        <f>D56+G56-H56</f>
        <v>6679.153748505224</v>
      </c>
      <c r="D57" s="17">
        <f>C57+(C57*0.04)</f>
        <v>6946.319898445433</v>
      </c>
      <c r="E57" s="17">
        <f>C57/3250</f>
        <v>2.0551242303092998</v>
      </c>
      <c r="F57" s="28">
        <f>(D57-C57)/E57</f>
        <v>129.99999999999997</v>
      </c>
      <c r="G57" s="81"/>
      <c r="H57" s="81"/>
      <c r="I57" s="19">
        <f>E57*50/C57</f>
        <v>1.5384615384615387E-2</v>
      </c>
      <c r="J57" s="18">
        <f>C57-(E57*1080)</f>
        <v>4459.6195797711807</v>
      </c>
      <c r="K57" s="95"/>
      <c r="L57" s="96"/>
      <c r="M57" s="96"/>
      <c r="N57" s="96"/>
      <c r="O57" s="96"/>
      <c r="P57" s="96"/>
    </row>
    <row r="58" spans="1:16" ht="13.5" thickBot="1">
      <c r="A58" s="79"/>
      <c r="B58" s="13"/>
      <c r="C58" s="22"/>
      <c r="D58" s="23"/>
      <c r="E58" s="23"/>
      <c r="F58" s="27"/>
      <c r="G58" s="23"/>
      <c r="H58" s="10"/>
      <c r="I58" s="24"/>
      <c r="J58" s="25"/>
    </row>
    <row r="59" spans="1:16">
      <c r="A59" s="87">
        <v>12</v>
      </c>
      <c r="B59" s="82">
        <f>B57+7</f>
        <v>43191</v>
      </c>
      <c r="C59" s="20">
        <f>D57+G57-H57</f>
        <v>6946.319898445433</v>
      </c>
      <c r="D59" s="17">
        <f>C59+(C59*0.04)</f>
        <v>7224.17269438325</v>
      </c>
      <c r="E59" s="17">
        <f>C59/3250</f>
        <v>2.1373291995216719</v>
      </c>
      <c r="F59" s="28">
        <f>(D59-C59)/E59</f>
        <v>129.99999999999986</v>
      </c>
      <c r="G59" s="18"/>
      <c r="H59" s="18"/>
      <c r="I59" s="19">
        <f>E59*50/C59</f>
        <v>1.5384615384615385E-2</v>
      </c>
      <c r="J59" s="18">
        <f>C59-(E59*1080)</f>
        <v>4638.0043629620268</v>
      </c>
    </row>
    <row r="60" spans="1:16">
      <c r="A60" s="88"/>
      <c r="B60" s="82">
        <f>B59+7</f>
        <v>43198</v>
      </c>
      <c r="C60" s="20">
        <f>D59+G59-H59</f>
        <v>7224.17269438325</v>
      </c>
      <c r="D60" s="17">
        <f>C60+(C60*0.04)</f>
        <v>7513.1396021585797</v>
      </c>
      <c r="E60" s="17">
        <f>C60/3250</f>
        <v>2.2228223675025385</v>
      </c>
      <c r="F60" s="28">
        <f>(D60-C60)/E60</f>
        <v>129.99999999999986</v>
      </c>
      <c r="G60" s="18"/>
      <c r="H60" s="18"/>
      <c r="I60" s="19">
        <f>E60*50/C60</f>
        <v>1.5384615384615384E-2</v>
      </c>
      <c r="J60" s="18">
        <f>C60-(E60*1080)</f>
        <v>4823.524537480509</v>
      </c>
    </row>
    <row r="61" spans="1:16">
      <c r="A61" s="88"/>
      <c r="B61" s="82">
        <f>B60+7</f>
        <v>43205</v>
      </c>
      <c r="C61" s="20">
        <f>D60+G60-H60</f>
        <v>7513.1396021585797</v>
      </c>
      <c r="D61" s="17">
        <f>C61+(C61*0.04)</f>
        <v>7813.6651862449226</v>
      </c>
      <c r="E61" s="17">
        <f>C61/3250</f>
        <v>2.3117352622026397</v>
      </c>
      <c r="F61" s="28">
        <f>(D61-C61)/E61</f>
        <v>129.99999999999986</v>
      </c>
      <c r="G61" s="18"/>
      <c r="H61" s="18"/>
      <c r="I61" s="19">
        <f>E61*50/C61</f>
        <v>1.5384615384615384E-2</v>
      </c>
      <c r="J61" s="18">
        <f>C61-(E61*1080)</f>
        <v>5016.4655189797286</v>
      </c>
    </row>
    <row r="62" spans="1:16" ht="13.5" thickBot="1">
      <c r="A62" s="89"/>
      <c r="B62" s="82">
        <f>B61+7</f>
        <v>43212</v>
      </c>
      <c r="C62" s="20">
        <f>D61+G61-H61</f>
        <v>7813.6651862449226</v>
      </c>
      <c r="D62" s="17">
        <f>C62+(C62*0.04)</f>
        <v>8126.2117936947197</v>
      </c>
      <c r="E62" s="17">
        <f>C62/3250</f>
        <v>2.4042046726907453</v>
      </c>
      <c r="F62" s="28">
        <f>(D62-C62)/E62</f>
        <v>130.00000000000011</v>
      </c>
      <c r="G62" s="81"/>
      <c r="H62" s="81">
        <f>(D62-C49)*0.35</f>
        <v>1067.7113590815927</v>
      </c>
      <c r="I62" s="19">
        <f>E62*50/C62</f>
        <v>1.5384615384615384E-2</v>
      </c>
      <c r="J62" s="18">
        <f>C62-(E62*1080)</f>
        <v>5217.1241397389176</v>
      </c>
      <c r="K62" s="90" t="s">
        <v>44</v>
      </c>
      <c r="L62" s="91"/>
      <c r="M62" s="91"/>
      <c r="N62" s="91"/>
      <c r="O62" s="91"/>
      <c r="P62" s="91"/>
    </row>
    <row r="63" spans="1:16" ht="13.5" thickBot="1">
      <c r="A63" s="79"/>
      <c r="B63" s="13"/>
      <c r="C63" s="22"/>
      <c r="D63" s="23"/>
      <c r="E63" s="23"/>
      <c r="F63" s="27"/>
      <c r="G63" s="23"/>
      <c r="H63" s="10"/>
      <c r="I63" s="24"/>
      <c r="J63" s="25"/>
    </row>
    <row r="64" spans="1:16">
      <c r="A64" s="87">
        <v>13</v>
      </c>
      <c r="B64" s="82">
        <f>B62+7</f>
        <v>43219</v>
      </c>
      <c r="C64" s="20">
        <f>D62+G62-H62</f>
        <v>7058.5004346131273</v>
      </c>
      <c r="D64" s="17">
        <f>C64+(C64*0.04)</f>
        <v>7340.8404519976521</v>
      </c>
      <c r="E64" s="17">
        <f>C64/3250</f>
        <v>2.17184628757327</v>
      </c>
      <c r="F64" s="28">
        <f>(D64-C64)/E64</f>
        <v>129.99999999999986</v>
      </c>
      <c r="G64" s="17"/>
      <c r="H64" s="80"/>
      <c r="I64" s="19">
        <f>E64*50/C64</f>
        <v>1.5384615384615385E-2</v>
      </c>
      <c r="J64" s="18">
        <f>C64-(E64*1080)</f>
        <v>4712.9064440339953</v>
      </c>
    </row>
    <row r="65" spans="1:16">
      <c r="A65" s="88"/>
      <c r="B65" s="82">
        <f>B64+7</f>
        <v>43226</v>
      </c>
      <c r="C65" s="20">
        <f>D64+G64-H64</f>
        <v>7340.8404519976521</v>
      </c>
      <c r="D65" s="17">
        <f>C65+(C65*0.04)</f>
        <v>7634.4740700775583</v>
      </c>
      <c r="E65" s="17">
        <f>C65/3250</f>
        <v>2.2587201390762006</v>
      </c>
      <c r="F65" s="28">
        <f>(D65-C65)/E65</f>
        <v>130.00000000000006</v>
      </c>
      <c r="G65" s="17"/>
      <c r="H65" s="80"/>
      <c r="I65" s="19">
        <f>E65*50/C65</f>
        <v>1.5384615384615385E-2</v>
      </c>
      <c r="J65" s="18">
        <f>C65-(E65*1080)</f>
        <v>4901.4227017953554</v>
      </c>
    </row>
    <row r="66" spans="1:16">
      <c r="A66" s="88"/>
      <c r="B66" s="82">
        <f>B65+7</f>
        <v>43233</v>
      </c>
      <c r="C66" s="20">
        <f>D65+G65-H65</f>
        <v>7634.4740700775583</v>
      </c>
      <c r="D66" s="17">
        <f>C66+(C66*0.04)</f>
        <v>7939.853032880661</v>
      </c>
      <c r="E66" s="17">
        <f>C66/3250</f>
        <v>2.3490689446392485</v>
      </c>
      <c r="F66" s="28">
        <f>(D66-C66)/E66</f>
        <v>130.00000000000017</v>
      </c>
      <c r="G66" s="17"/>
      <c r="H66" s="80"/>
      <c r="I66" s="19">
        <f>E66*50/C66</f>
        <v>1.5384615384615384E-2</v>
      </c>
      <c r="J66" s="18">
        <f>C66-(E66*1080)</f>
        <v>5097.4796098671704</v>
      </c>
    </row>
    <row r="67" spans="1:16" ht="13.5" thickBot="1">
      <c r="A67" s="89"/>
      <c r="B67" s="82">
        <f>B66+7</f>
        <v>43240</v>
      </c>
      <c r="C67" s="20">
        <f>D66+G66-H66</f>
        <v>7939.853032880661</v>
      </c>
      <c r="D67" s="17">
        <f>C67+(C67*0.04)</f>
        <v>8257.4471541958883</v>
      </c>
      <c r="E67" s="17">
        <f>C67/3250</f>
        <v>2.4430317024248187</v>
      </c>
      <c r="F67" s="28">
        <f>(D67-C67)/E67</f>
        <v>130.00000000000037</v>
      </c>
      <c r="G67" s="81"/>
      <c r="H67" s="81"/>
      <c r="I67" s="19">
        <f>E67*50/C67</f>
        <v>1.5384615384615385E-2</v>
      </c>
      <c r="J67" s="18">
        <f>C67-(E67*1080)</f>
        <v>5301.3787942618565</v>
      </c>
      <c r="K67" s="95"/>
      <c r="L67" s="96"/>
      <c r="M67" s="96"/>
      <c r="N67" s="96"/>
      <c r="O67" s="96"/>
      <c r="P67" s="96"/>
    </row>
    <row r="68" spans="1:16" ht="13.5" thickBot="1">
      <c r="A68" s="79"/>
      <c r="B68" s="13"/>
      <c r="C68" s="22"/>
      <c r="D68" s="23"/>
      <c r="E68" s="23"/>
      <c r="F68" s="27"/>
      <c r="G68" s="23"/>
      <c r="H68" s="10"/>
      <c r="I68" s="24"/>
      <c r="J68" s="25"/>
    </row>
    <row r="69" spans="1:16">
      <c r="A69" s="87">
        <v>14</v>
      </c>
      <c r="B69" s="82">
        <f>B67+7</f>
        <v>43247</v>
      </c>
      <c r="C69" s="20">
        <f>D67+G67-H67</f>
        <v>8257.4471541958883</v>
      </c>
      <c r="D69" s="17">
        <f>C69+(C69*0.04)</f>
        <v>8587.7450403637231</v>
      </c>
      <c r="E69" s="17">
        <f>C69/3250</f>
        <v>2.5407529705218117</v>
      </c>
      <c r="F69" s="28">
        <f>(D69-C69)/E69</f>
        <v>129.99999999999972</v>
      </c>
      <c r="G69" s="18"/>
      <c r="H69" s="18"/>
      <c r="I69" s="19">
        <f>E69*50/C69</f>
        <v>1.5384615384615384E-2</v>
      </c>
      <c r="J69" s="18">
        <f>C69-(E69*1080)</f>
        <v>5513.4339460323317</v>
      </c>
    </row>
    <row r="70" spans="1:16">
      <c r="A70" s="88"/>
      <c r="B70" s="82">
        <f>B69+7</f>
        <v>43254</v>
      </c>
      <c r="C70" s="20">
        <f>D69+G69-H69</f>
        <v>8587.7450403637231</v>
      </c>
      <c r="D70" s="17">
        <f>C70+(C70*0.04)</f>
        <v>8931.2548419782725</v>
      </c>
      <c r="E70" s="17">
        <f>C70/3250</f>
        <v>2.6423830893426841</v>
      </c>
      <c r="F70" s="28">
        <f>(D70-C70)/E70</f>
        <v>130.00000000000017</v>
      </c>
      <c r="G70" s="18"/>
      <c r="H70" s="18"/>
      <c r="I70" s="19">
        <f>E70*50/C70</f>
        <v>1.5384615384615384E-2</v>
      </c>
      <c r="J70" s="18">
        <f>C70-(E70*1080)</f>
        <v>5733.9713038736245</v>
      </c>
    </row>
    <row r="71" spans="1:16">
      <c r="A71" s="88"/>
      <c r="B71" s="82">
        <f>B70+7</f>
        <v>43261</v>
      </c>
      <c r="C71" s="20">
        <f>D70+G70-H70</f>
        <v>8931.2548419782725</v>
      </c>
      <c r="D71" s="17">
        <f>C71+(C71*0.04)</f>
        <v>9288.5050356574029</v>
      </c>
      <c r="E71" s="17">
        <f>C71/3250</f>
        <v>2.7480784129163913</v>
      </c>
      <c r="F71" s="28">
        <f>(D71-C71)/E71</f>
        <v>129.99999999999986</v>
      </c>
      <c r="G71" s="18"/>
      <c r="H71" s="18"/>
      <c r="I71" s="19">
        <f>E71*50/C71</f>
        <v>1.5384615384615384E-2</v>
      </c>
      <c r="J71" s="18">
        <f>C71-(E71*1080)</f>
        <v>5963.3301560285699</v>
      </c>
    </row>
    <row r="72" spans="1:16" ht="13.5" thickBot="1">
      <c r="A72" s="89"/>
      <c r="B72" s="82">
        <f>B71+7</f>
        <v>43268</v>
      </c>
      <c r="C72" s="20">
        <f>D71+G71-H71</f>
        <v>9288.5050356574029</v>
      </c>
      <c r="D72" s="17">
        <f>C72+(C72*0.04)</f>
        <v>9660.0452370836992</v>
      </c>
      <c r="E72" s="17">
        <f>C72/3250</f>
        <v>2.8580015494330469</v>
      </c>
      <c r="F72" s="28">
        <f>(D72-C72)/E72</f>
        <v>130.00000000000009</v>
      </c>
      <c r="G72" s="81"/>
      <c r="H72" s="81"/>
      <c r="I72" s="19">
        <f>E72*50/C72</f>
        <v>1.5384615384615384E-2</v>
      </c>
      <c r="J72" s="18">
        <f>C72-(E72*1080)</f>
        <v>6201.8633622697125</v>
      </c>
      <c r="K72" s="95"/>
      <c r="L72" s="96"/>
      <c r="M72" s="96"/>
      <c r="N72" s="96"/>
      <c r="O72" s="96"/>
      <c r="P72" s="96"/>
    </row>
    <row r="73" spans="1:16" ht="13.5" thickBot="1">
      <c r="A73" s="79"/>
      <c r="B73" s="13"/>
      <c r="C73" s="22"/>
      <c r="D73" s="23"/>
      <c r="E73" s="23"/>
      <c r="F73" s="27"/>
      <c r="G73" s="23"/>
      <c r="H73" s="10"/>
      <c r="I73" s="24"/>
      <c r="J73" s="25"/>
    </row>
    <row r="74" spans="1:16">
      <c r="A74" s="87">
        <v>15</v>
      </c>
      <c r="B74" s="82">
        <f>B72+7</f>
        <v>43275</v>
      </c>
      <c r="C74" s="20">
        <f>D72+G72-H72</f>
        <v>9660.0452370836992</v>
      </c>
      <c r="D74" s="17">
        <f>C74+(C74*0.04)</f>
        <v>10046.447046567047</v>
      </c>
      <c r="E74" s="17">
        <f>C74/3250</f>
        <v>2.972321611410369</v>
      </c>
      <c r="F74" s="28">
        <f>(D74-C74)/E74</f>
        <v>130.00000000000009</v>
      </c>
      <c r="G74" s="18"/>
      <c r="H74" s="18"/>
      <c r="I74" s="19">
        <f>E74*50/C74</f>
        <v>1.5384615384615384E-2</v>
      </c>
      <c r="J74" s="18">
        <f>C74-(E74*1080)</f>
        <v>6449.9378967605007</v>
      </c>
    </row>
    <row r="75" spans="1:16">
      <c r="A75" s="88"/>
      <c r="B75" s="82">
        <f>B74+7</f>
        <v>43282</v>
      </c>
      <c r="C75" s="20">
        <f>D74+G74-H74</f>
        <v>10046.447046567047</v>
      </c>
      <c r="D75" s="17">
        <f>C75+(C75*0.04)</f>
        <v>10448.304928429729</v>
      </c>
      <c r="E75" s="17">
        <f>C75/3250</f>
        <v>3.0912144758667837</v>
      </c>
      <c r="F75" s="28">
        <f>(D75-C75)/E75</f>
        <v>129.99999999999974</v>
      </c>
      <c r="G75" s="18"/>
      <c r="H75" s="18"/>
      <c r="I75" s="19">
        <f>E75*50/C75</f>
        <v>1.5384615384615384E-2</v>
      </c>
      <c r="J75" s="18">
        <f>C75-(E75*1080)</f>
        <v>6707.9354126309208</v>
      </c>
    </row>
    <row r="76" spans="1:16">
      <c r="A76" s="88"/>
      <c r="B76" s="82">
        <f>B75+7</f>
        <v>43289</v>
      </c>
      <c r="C76" s="20">
        <f>D75+G75-H75</f>
        <v>10448.304928429729</v>
      </c>
      <c r="D76" s="17">
        <f>C76+(C76*0.04)</f>
        <v>10866.237125566917</v>
      </c>
      <c r="E76" s="17">
        <f>C76/3250</f>
        <v>3.2148630549014547</v>
      </c>
      <c r="F76" s="28">
        <f>(D76-C76)/E76</f>
        <v>129.99999999999974</v>
      </c>
      <c r="G76" s="18"/>
      <c r="H76" s="18"/>
      <c r="I76" s="19">
        <f>E76*50/C76</f>
        <v>1.5384615384615384E-2</v>
      </c>
      <c r="J76" s="18">
        <f>C76-(E76*1080)</f>
        <v>6976.2528291361577</v>
      </c>
    </row>
    <row r="77" spans="1:16" ht="13.5" thickBot="1">
      <c r="A77" s="89"/>
      <c r="B77" s="82">
        <f>B76+7</f>
        <v>43296</v>
      </c>
      <c r="C77" s="20">
        <f>D76+G76-H76</f>
        <v>10866.237125566917</v>
      </c>
      <c r="D77" s="17">
        <f>C77+(C77*0.04)</f>
        <v>11300.886610589594</v>
      </c>
      <c r="E77" s="17">
        <f>C77/3250</f>
        <v>3.3434575770975128</v>
      </c>
      <c r="F77" s="28">
        <f>(D77-C77)/E77</f>
        <v>130.00000000000017</v>
      </c>
      <c r="G77" s="81"/>
      <c r="H77" s="81">
        <f>(D77-C64)*0.35</f>
        <v>1484.8351615917634</v>
      </c>
      <c r="I77" s="19">
        <f>E77*50/C77</f>
        <v>1.5384615384615385E-2</v>
      </c>
      <c r="J77" s="18">
        <f>C77-(E77*1080)</f>
        <v>7255.3029423016033</v>
      </c>
      <c r="K77" s="90" t="s">
        <v>44</v>
      </c>
      <c r="L77" s="91"/>
      <c r="M77" s="91"/>
      <c r="N77" s="91"/>
      <c r="O77" s="91"/>
      <c r="P77" s="91"/>
    </row>
    <row r="78" spans="1:16" ht="13.5" thickBot="1">
      <c r="A78" s="79"/>
      <c r="B78" s="13"/>
      <c r="C78" s="22"/>
      <c r="D78" s="23"/>
      <c r="E78" s="23"/>
      <c r="F78" s="27"/>
      <c r="G78" s="23"/>
      <c r="H78" s="10"/>
      <c r="I78" s="24"/>
      <c r="J78" s="25"/>
    </row>
    <row r="79" spans="1:16">
      <c r="A79" s="87">
        <v>16</v>
      </c>
      <c r="B79" s="82">
        <f>B77+7</f>
        <v>43303</v>
      </c>
      <c r="C79" s="20">
        <f>D77+G77-H77</f>
        <v>9816.0514489978304</v>
      </c>
      <c r="D79" s="17">
        <f>C79+(C79*0.04)</f>
        <v>10208.693506957743</v>
      </c>
      <c r="E79" s="17">
        <f>C79/3250</f>
        <v>3.0203235227685634</v>
      </c>
      <c r="F79" s="28">
        <f>(D79-C79)/E79</f>
        <v>129.99999999999977</v>
      </c>
      <c r="G79" s="18"/>
      <c r="H79" s="18"/>
      <c r="I79" s="19">
        <f>E79*50/C79</f>
        <v>1.5384615384615385E-2</v>
      </c>
      <c r="J79" s="18">
        <f>C79-(E79*1080)</f>
        <v>6554.1020444077822</v>
      </c>
    </row>
    <row r="80" spans="1:16">
      <c r="A80" s="88"/>
      <c r="B80" s="82">
        <f>B79+7</f>
        <v>43310</v>
      </c>
      <c r="C80" s="20">
        <f>D79+G79-H79</f>
        <v>10208.693506957743</v>
      </c>
      <c r="D80" s="17">
        <f>C80+(C80*0.04)</f>
        <v>10617.041247236053</v>
      </c>
      <c r="E80" s="17">
        <f>C80/3250</f>
        <v>3.1411364636793055</v>
      </c>
      <c r="F80" s="28">
        <f>(D80-C80)/E80</f>
        <v>130.00000000000011</v>
      </c>
      <c r="G80" s="18"/>
      <c r="H80" s="18"/>
      <c r="I80" s="19">
        <f>E80*50/C80</f>
        <v>1.5384615384615384E-2</v>
      </c>
      <c r="J80" s="18">
        <f>C80-(E80*1080)</f>
        <v>6816.2661261840931</v>
      </c>
    </row>
    <row r="81" spans="1:16">
      <c r="A81" s="88"/>
      <c r="B81" s="82">
        <f>B80+7</f>
        <v>43317</v>
      </c>
      <c r="C81" s="20">
        <f>D80+G80-H80</f>
        <v>10617.041247236053</v>
      </c>
      <c r="D81" s="17">
        <f>C81+(C81*0.04)</f>
        <v>11041.722897125495</v>
      </c>
      <c r="E81" s="17">
        <f>C81/3250</f>
        <v>3.2667819222264778</v>
      </c>
      <c r="F81" s="28">
        <f>(D81-C81)/E81</f>
        <v>130.00000000000006</v>
      </c>
      <c r="G81" s="18"/>
      <c r="H81" s="18"/>
      <c r="I81" s="19">
        <f>E81*50/C81</f>
        <v>1.5384615384615385E-2</v>
      </c>
      <c r="J81" s="18">
        <f>C81-(E81*1080)</f>
        <v>7088.9167712314575</v>
      </c>
    </row>
    <row r="82" spans="1:16" ht="13.5" thickBot="1">
      <c r="A82" s="89"/>
      <c r="B82" s="82">
        <f>B81+7</f>
        <v>43324</v>
      </c>
      <c r="C82" s="20">
        <f>D81+G81-H81</f>
        <v>11041.722897125495</v>
      </c>
      <c r="D82" s="17">
        <f>C82+(C82*0.04)</f>
        <v>11483.391813010516</v>
      </c>
      <c r="E82" s="17">
        <f>C82/3250</f>
        <v>3.397453199115537</v>
      </c>
      <c r="F82" s="28">
        <f>(D82-C82)/E82</f>
        <v>130.00000000000017</v>
      </c>
      <c r="G82" s="81"/>
      <c r="H82" s="81"/>
      <c r="I82" s="19">
        <f>E82*50/C82</f>
        <v>1.5384615384615384E-2</v>
      </c>
      <c r="J82" s="18">
        <f>C82-(E82*1080)</f>
        <v>7372.4734420807154</v>
      </c>
      <c r="K82" s="95"/>
      <c r="L82" s="96"/>
      <c r="M82" s="96"/>
      <c r="N82" s="96"/>
      <c r="O82" s="96"/>
      <c r="P82" s="96"/>
    </row>
    <row r="83" spans="1:16" ht="13.5" thickBot="1">
      <c r="A83" s="79"/>
      <c r="B83" s="13"/>
      <c r="C83" s="22"/>
      <c r="D83" s="23"/>
      <c r="E83" s="23"/>
      <c r="F83" s="27"/>
      <c r="G83" s="23"/>
      <c r="H83" s="10"/>
      <c r="I83" s="24"/>
      <c r="J83" s="25"/>
    </row>
    <row r="84" spans="1:16">
      <c r="A84" s="87">
        <v>17</v>
      </c>
      <c r="B84" s="82">
        <f>B82+7</f>
        <v>43331</v>
      </c>
      <c r="C84" s="20">
        <f>D82+G82-H82</f>
        <v>11483.391813010516</v>
      </c>
      <c r="D84" s="17">
        <f>C84+(C84*0.04)</f>
        <v>11942.727485530937</v>
      </c>
      <c r="E84" s="17">
        <f>C84/3250</f>
        <v>3.5333513270801586</v>
      </c>
      <c r="F84" s="28">
        <f>(D84-C84)/E84</f>
        <v>130.00000000000017</v>
      </c>
      <c r="G84" s="18"/>
      <c r="H84" s="18"/>
      <c r="I84" s="19">
        <f>E84*50/C84</f>
        <v>1.5384615384615384E-2</v>
      </c>
      <c r="J84" s="18">
        <f>C84-(E84*1080)</f>
        <v>7667.372379763945</v>
      </c>
    </row>
    <row r="85" spans="1:16">
      <c r="A85" s="88"/>
      <c r="B85" s="82">
        <f>B84+7</f>
        <v>43338</v>
      </c>
      <c r="C85" s="20">
        <f>D84+G84-H84</f>
        <v>11942.727485530937</v>
      </c>
      <c r="D85" s="17">
        <f>C85+(C85*0.04)</f>
        <v>12420.436584952175</v>
      </c>
      <c r="E85" s="17">
        <f>C85/3250</f>
        <v>3.6746853801633654</v>
      </c>
      <c r="F85" s="28">
        <f>(D85-C85)/E85</f>
        <v>130.00000000000003</v>
      </c>
      <c r="G85" s="18"/>
      <c r="H85" s="18"/>
      <c r="I85" s="19">
        <f>E85*50/C85</f>
        <v>1.5384615384615385E-2</v>
      </c>
      <c r="J85" s="18">
        <f>C85-(E85*1080)</f>
        <v>7974.0672749545029</v>
      </c>
      <c r="K85" s="31"/>
      <c r="L85" s="31"/>
    </row>
    <row r="86" spans="1:16">
      <c r="A86" s="88"/>
      <c r="B86" s="82">
        <f>B85+7</f>
        <v>43345</v>
      </c>
      <c r="C86" s="20">
        <f>D85+G85-H85</f>
        <v>12420.436584952175</v>
      </c>
      <c r="D86" s="17">
        <f>C86+(C86*0.04)</f>
        <v>12917.254048350262</v>
      </c>
      <c r="E86" s="17">
        <f>C86/3250</f>
        <v>3.8216727953698997</v>
      </c>
      <c r="F86" s="28">
        <f>(D86-C86)/E86</f>
        <v>130.00000000000003</v>
      </c>
      <c r="G86" s="18"/>
      <c r="H86" s="18"/>
      <c r="I86" s="19">
        <f>E86*50/C86</f>
        <v>1.5384615384615384E-2</v>
      </c>
      <c r="J86" s="18">
        <f>C86-(E86*1080)</f>
        <v>8293.0299659526827</v>
      </c>
      <c r="K86" s="31"/>
      <c r="L86" s="31"/>
    </row>
    <row r="87" spans="1:16" ht="13.5" thickBot="1">
      <c r="A87" s="89"/>
      <c r="B87" s="82">
        <f>B86+7</f>
        <v>43352</v>
      </c>
      <c r="C87" s="20">
        <f>D86+G86-H86</f>
        <v>12917.254048350262</v>
      </c>
      <c r="D87" s="17">
        <f>C87+(C87*0.04)</f>
        <v>13433.944210284271</v>
      </c>
      <c r="E87" s="17">
        <f>C87/3250</f>
        <v>3.9745397071846957</v>
      </c>
      <c r="F87" s="28">
        <f>(D87-C87)/E87</f>
        <v>129.9999999999998</v>
      </c>
      <c r="G87" s="81"/>
      <c r="H87" s="81"/>
      <c r="I87" s="19">
        <f>E87*50/C87</f>
        <v>1.5384615384615384E-2</v>
      </c>
      <c r="J87" s="18">
        <f>C87-(E87*1080)</f>
        <v>8624.7511645907907</v>
      </c>
      <c r="K87" s="95"/>
      <c r="L87" s="96"/>
      <c r="M87" s="96"/>
      <c r="N87" s="96"/>
      <c r="O87" s="96"/>
      <c r="P87" s="96"/>
    </row>
    <row r="88" spans="1:16" ht="13.5" thickBot="1">
      <c r="A88" s="79"/>
      <c r="B88" s="13"/>
      <c r="C88" s="22"/>
      <c r="D88" s="23"/>
      <c r="E88" s="23"/>
      <c r="F88" s="27"/>
      <c r="G88" s="23"/>
      <c r="H88" s="10"/>
      <c r="I88" s="24"/>
      <c r="J88" s="25"/>
    </row>
    <row r="89" spans="1:16">
      <c r="A89" s="87">
        <v>18</v>
      </c>
      <c r="B89" s="82">
        <f>B87+7</f>
        <v>43359</v>
      </c>
      <c r="C89" s="20">
        <f>D87+G87-H87</f>
        <v>13433.944210284271</v>
      </c>
      <c r="D89" s="17">
        <f>C89+(C89*0.04)</f>
        <v>13971.301978695643</v>
      </c>
      <c r="E89" s="17">
        <f>C89/3250</f>
        <v>4.1335212954720832</v>
      </c>
      <c r="F89" s="28">
        <f>(D89-C89)/E89</f>
        <v>130.00000000000017</v>
      </c>
      <c r="G89" s="18"/>
      <c r="H89" s="18"/>
      <c r="I89" s="19">
        <f>E89*50/C89</f>
        <v>1.5384615384615384E-2</v>
      </c>
      <c r="J89" s="18">
        <f>C89-(E89*1080)</f>
        <v>8969.7412111744216</v>
      </c>
    </row>
    <row r="90" spans="1:16">
      <c r="A90" s="88"/>
      <c r="B90" s="82">
        <f>B89+7</f>
        <v>43366</v>
      </c>
      <c r="C90" s="20">
        <f>D89+G89-H89</f>
        <v>13971.301978695643</v>
      </c>
      <c r="D90" s="17">
        <f>C90+(C90*0.04)</f>
        <v>14530.154057843469</v>
      </c>
      <c r="E90" s="17">
        <f>C90/3250</f>
        <v>4.2988621472909667</v>
      </c>
      <c r="F90" s="28">
        <f>(D90-C90)/E90</f>
        <v>130.00000000000006</v>
      </c>
      <c r="G90" s="18"/>
      <c r="H90" s="18"/>
      <c r="I90" s="19">
        <f>E90*50/C90</f>
        <v>1.5384615384615382E-2</v>
      </c>
      <c r="J90" s="18">
        <f>C90-(E90*1080)</f>
        <v>9328.5308596213981</v>
      </c>
    </row>
    <row r="91" spans="1:16">
      <c r="A91" s="88"/>
      <c r="B91" s="82">
        <f>B90+7</f>
        <v>43373</v>
      </c>
      <c r="C91" s="20">
        <f>D90+G90-H90</f>
        <v>14530.154057843469</v>
      </c>
      <c r="D91" s="17">
        <f>C91+(C91*0.04)</f>
        <v>15111.360220157207</v>
      </c>
      <c r="E91" s="17">
        <f>C91/3250</f>
        <v>4.470816633182606</v>
      </c>
      <c r="F91" s="28">
        <f>(D91-C91)/E91</f>
        <v>129.9999999999998</v>
      </c>
      <c r="G91" s="18"/>
      <c r="H91" s="18"/>
      <c r="I91" s="19">
        <f>E91*50/C91</f>
        <v>1.5384615384615385E-2</v>
      </c>
      <c r="J91" s="18">
        <f>C91-(E91*1080)</f>
        <v>9701.6720940062551</v>
      </c>
    </row>
    <row r="92" spans="1:16" ht="13.5" thickBot="1">
      <c r="A92" s="89"/>
      <c r="B92" s="82">
        <f>B91+7</f>
        <v>43380</v>
      </c>
      <c r="C92" s="20">
        <f>D91+G91-H91</f>
        <v>15111.360220157207</v>
      </c>
      <c r="D92" s="17">
        <f>C92+(C92*0.04)</f>
        <v>15715.814628963495</v>
      </c>
      <c r="E92" s="17">
        <f>C92/3250</f>
        <v>4.6496492985099094</v>
      </c>
      <c r="F92" s="28">
        <f>(D92-C92)/E92</f>
        <v>130.00000000000006</v>
      </c>
      <c r="G92" s="81"/>
      <c r="H92" s="81">
        <f>(D92-C79)*0.35</f>
        <v>2064.9171129879824</v>
      </c>
      <c r="I92" s="19">
        <f>E92*50/C92</f>
        <v>1.5384615384615384E-2</v>
      </c>
      <c r="J92" s="18">
        <f>C92-(E92*1080)</f>
        <v>10089.738977766505</v>
      </c>
      <c r="K92" s="90" t="s">
        <v>44</v>
      </c>
      <c r="L92" s="91"/>
      <c r="M92" s="91"/>
      <c r="N92" s="91"/>
      <c r="O92" s="91"/>
      <c r="P92" s="91"/>
    </row>
    <row r="93" spans="1:16" ht="13.5" thickBot="1">
      <c r="A93" s="79"/>
      <c r="B93" s="13"/>
      <c r="C93" s="22"/>
      <c r="D93" s="23"/>
      <c r="E93" s="23"/>
      <c r="F93" s="27"/>
      <c r="G93" s="23"/>
      <c r="H93" s="10"/>
      <c r="I93" s="24"/>
      <c r="J93" s="25"/>
    </row>
    <row r="94" spans="1:16">
      <c r="A94" s="87">
        <v>19</v>
      </c>
      <c r="B94" s="82">
        <f>B92+7</f>
        <v>43387</v>
      </c>
      <c r="C94" s="20">
        <f>D92+G92-H92</f>
        <v>13650.897515975514</v>
      </c>
      <c r="D94" s="17">
        <f>C94+(C94*0.04)</f>
        <v>14196.933416614535</v>
      </c>
      <c r="E94" s="17">
        <f>C94/3250</f>
        <v>4.2002761587616968</v>
      </c>
      <c r="F94" s="28">
        <f>(D94-C94)/E94</f>
        <v>130.00000000000006</v>
      </c>
      <c r="G94" s="17"/>
      <c r="H94" s="18"/>
      <c r="I94" s="19">
        <f>E94*50/C94</f>
        <v>1.5384615384615387E-2</v>
      </c>
      <c r="J94" s="18">
        <f>C94-(E94*1080)</f>
        <v>9114.5992645128808</v>
      </c>
    </row>
    <row r="95" spans="1:16">
      <c r="A95" s="88"/>
      <c r="B95" s="82">
        <f>B94+7</f>
        <v>43394</v>
      </c>
      <c r="C95" s="20">
        <f>D94+G94-H94</f>
        <v>14196.933416614535</v>
      </c>
      <c r="D95" s="17">
        <f>C95+(C95*0.04)</f>
        <v>14764.810753279116</v>
      </c>
      <c r="E95" s="17">
        <f>C95/3250</f>
        <v>4.3682872051121642</v>
      </c>
      <c r="F95" s="28">
        <f>(D95-C95)/E95</f>
        <v>130.00000000000011</v>
      </c>
      <c r="G95" s="17"/>
      <c r="H95" s="18"/>
      <c r="I95" s="19">
        <f>E95*50/C95</f>
        <v>1.5384615384615384E-2</v>
      </c>
      <c r="J95" s="18">
        <f>C95-(E95*1080)</f>
        <v>9479.1832350933983</v>
      </c>
    </row>
    <row r="96" spans="1:16">
      <c r="A96" s="88"/>
      <c r="B96" s="82">
        <f>B95+7</f>
        <v>43401</v>
      </c>
      <c r="C96" s="20">
        <f>D95+G95-H95</f>
        <v>14764.810753279116</v>
      </c>
      <c r="D96" s="17">
        <f>C96+(C96*0.04)</f>
        <v>15355.403183410281</v>
      </c>
      <c r="E96" s="17">
        <f>C96/3250</f>
        <v>4.5430186933166512</v>
      </c>
      <c r="F96" s="28">
        <f>(D96-C96)/E96</f>
        <v>129.99999999999991</v>
      </c>
      <c r="G96" s="17"/>
      <c r="H96" s="18"/>
      <c r="I96" s="19">
        <f>E96*50/C96</f>
        <v>1.5384615384615384E-2</v>
      </c>
      <c r="J96" s="18">
        <f>C96-(E96*1080)</f>
        <v>9858.3505644971337</v>
      </c>
    </row>
    <row r="97" spans="1:16" ht="13.5" thickBot="1">
      <c r="A97" s="89"/>
      <c r="B97" s="82">
        <f>B96+7</f>
        <v>43408</v>
      </c>
      <c r="C97" s="20">
        <f>D96+G96-H96</f>
        <v>15355.403183410281</v>
      </c>
      <c r="D97" s="17">
        <f>C97+(C97*0.04)</f>
        <v>15969.619310746692</v>
      </c>
      <c r="E97" s="17">
        <f>C97/3250</f>
        <v>4.7247394410493175</v>
      </c>
      <c r="F97" s="28">
        <f>(D97-C97)/E97</f>
        <v>129.99999999999991</v>
      </c>
      <c r="G97" s="81"/>
      <c r="H97" s="81"/>
      <c r="I97" s="19">
        <f>E97*50/C97</f>
        <v>1.5384615384615387E-2</v>
      </c>
      <c r="J97" s="18">
        <f>C97-(E97*1080)</f>
        <v>10252.684587077018</v>
      </c>
      <c r="K97" s="95"/>
      <c r="L97" s="96"/>
      <c r="M97" s="96"/>
      <c r="N97" s="96"/>
      <c r="O97" s="96"/>
      <c r="P97" s="96"/>
    </row>
    <row r="98" spans="1:16" ht="13.5" thickBot="1">
      <c r="A98" s="79"/>
      <c r="B98" s="13"/>
      <c r="C98" s="22"/>
      <c r="D98" s="23"/>
      <c r="E98" s="23"/>
      <c r="F98" s="27"/>
      <c r="G98" s="23"/>
      <c r="H98" s="10"/>
      <c r="I98" s="24"/>
      <c r="J98" s="25"/>
    </row>
    <row r="99" spans="1:16">
      <c r="A99" s="87">
        <v>20</v>
      </c>
      <c r="B99" s="82">
        <f>B97+7</f>
        <v>43415</v>
      </c>
      <c r="C99" s="20">
        <f>D97+G97-H97</f>
        <v>15969.619310746692</v>
      </c>
      <c r="D99" s="17">
        <f>C99+(C99*0.04)</f>
        <v>16608.40408317656</v>
      </c>
      <c r="E99" s="17">
        <f>C99/3250</f>
        <v>4.9137290186912894</v>
      </c>
      <c r="F99" s="28">
        <f>(D99-C99)/E99</f>
        <v>130.00000000000009</v>
      </c>
      <c r="G99" s="18"/>
      <c r="H99" s="18"/>
      <c r="I99" s="19">
        <f>E99*50/C99</f>
        <v>1.5384615384615384E-2</v>
      </c>
      <c r="J99" s="18">
        <f>C99-(E99*1080)</f>
        <v>10662.791970560098</v>
      </c>
    </row>
    <row r="100" spans="1:16">
      <c r="A100" s="88"/>
      <c r="B100" s="82">
        <f>B99+7</f>
        <v>43422</v>
      </c>
      <c r="C100" s="20">
        <f>D99+G99-H99</f>
        <v>16608.40408317656</v>
      </c>
      <c r="D100" s="17">
        <f>C100+(C100*0.04)</f>
        <v>17272.740246503621</v>
      </c>
      <c r="E100" s="17">
        <f>C100/3250</f>
        <v>5.1102781794389411</v>
      </c>
      <c r="F100" s="28">
        <f>(D100-C100)/E100</f>
        <v>129.99999999999983</v>
      </c>
      <c r="G100" s="18"/>
      <c r="H100" s="18"/>
      <c r="I100" s="19">
        <f>E100*50/C100</f>
        <v>1.5384615384615384E-2</v>
      </c>
      <c r="J100" s="18">
        <f>C100-(E100*1080)</f>
        <v>11089.303649382502</v>
      </c>
    </row>
    <row r="101" spans="1:16">
      <c r="A101" s="88"/>
      <c r="B101" s="82">
        <f>B100+7</f>
        <v>43429</v>
      </c>
      <c r="C101" s="20">
        <f>D100+G100-H100</f>
        <v>17272.740246503621</v>
      </c>
      <c r="D101" s="17">
        <f>C101+(C101*0.04)</f>
        <v>17963.649856363765</v>
      </c>
      <c r="E101" s="17">
        <f>C101/3250</f>
        <v>5.3146893066164989</v>
      </c>
      <c r="F101" s="28">
        <f>(D101-C101)/E101</f>
        <v>129.99999999999983</v>
      </c>
      <c r="G101" s="18"/>
      <c r="H101" s="18"/>
      <c r="I101" s="19">
        <f>E101*50/C101</f>
        <v>1.5384615384615385E-2</v>
      </c>
      <c r="J101" s="18">
        <f>C101-(E101*1080)</f>
        <v>11532.875795357802</v>
      </c>
    </row>
    <row r="102" spans="1:16" ht="13.5" thickBot="1">
      <c r="A102" s="89"/>
      <c r="B102" s="82">
        <f>B101+7</f>
        <v>43436</v>
      </c>
      <c r="C102" s="20">
        <f>D101+G101-H101</f>
        <v>17963.649856363765</v>
      </c>
      <c r="D102" s="17">
        <f>C102+(C102*0.04)</f>
        <v>18682.195850618315</v>
      </c>
      <c r="E102" s="17">
        <f>C102/3250</f>
        <v>5.5272768788811586</v>
      </c>
      <c r="F102" s="28">
        <f>(D102-C102)/E102</f>
        <v>129.9999999999998</v>
      </c>
      <c r="G102" s="81"/>
      <c r="H102" s="81"/>
      <c r="I102" s="19">
        <f>E102*50/C102</f>
        <v>1.5384615384615384E-2</v>
      </c>
      <c r="J102" s="18">
        <f>C102-(E102*1080)</f>
        <v>11994.190827172115</v>
      </c>
      <c r="K102" s="95"/>
      <c r="L102" s="96"/>
      <c r="M102" s="96"/>
      <c r="N102" s="96"/>
      <c r="O102" s="96"/>
      <c r="P102" s="96"/>
    </row>
    <row r="103" spans="1:16" ht="13.5" thickBot="1">
      <c r="A103" s="79"/>
      <c r="B103" s="13"/>
      <c r="C103" s="22"/>
      <c r="D103" s="23"/>
      <c r="E103" s="23"/>
      <c r="F103" s="27"/>
      <c r="G103" s="23"/>
      <c r="H103" s="10"/>
      <c r="I103" s="24"/>
      <c r="J103" s="25"/>
    </row>
    <row r="104" spans="1:16">
      <c r="A104" s="87">
        <v>21</v>
      </c>
      <c r="B104" s="82">
        <f>B102+7</f>
        <v>43443</v>
      </c>
      <c r="C104" s="20">
        <f>D102+G102-H102</f>
        <v>18682.195850618315</v>
      </c>
      <c r="D104" s="17">
        <f>C104+(C104*0.04)</f>
        <v>19429.483684643048</v>
      </c>
      <c r="E104" s="17">
        <f>C104/3250</f>
        <v>5.7483679540364045</v>
      </c>
      <c r="F104" s="28">
        <f>(D104-C104)/E104</f>
        <v>130.00000000000014</v>
      </c>
      <c r="G104" s="18"/>
      <c r="H104" s="18"/>
      <c r="I104" s="19">
        <f>E104*50/C104</f>
        <v>1.5384615384615385E-2</v>
      </c>
      <c r="J104" s="18">
        <f>C104-(E104*1080)</f>
        <v>12473.958460258997</v>
      </c>
    </row>
    <row r="105" spans="1:16">
      <c r="A105" s="88"/>
      <c r="B105" s="82">
        <f>B104+7</f>
        <v>43450</v>
      </c>
      <c r="C105" s="20">
        <f>D104+G104-H104</f>
        <v>19429.483684643048</v>
      </c>
      <c r="D105" s="17">
        <f>C105+(C105*0.04)</f>
        <v>20206.66303202877</v>
      </c>
      <c r="E105" s="17">
        <f>C105/3250</f>
        <v>5.9783026721978612</v>
      </c>
      <c r="F105" s="28">
        <f>(D105-C105)/E105</f>
        <v>129.99999999999991</v>
      </c>
      <c r="G105" s="18"/>
      <c r="H105" s="18"/>
      <c r="I105" s="19">
        <f>E105*50/C105</f>
        <v>1.5384615384615385E-2</v>
      </c>
      <c r="J105" s="18">
        <f>C105-(E105*1080)</f>
        <v>12972.916798669357</v>
      </c>
    </row>
    <row r="106" spans="1:16">
      <c r="A106" s="88"/>
      <c r="B106" s="82">
        <f>B105+7</f>
        <v>43457</v>
      </c>
      <c r="C106" s="20">
        <f>D105+G105-H105</f>
        <v>20206.66303202877</v>
      </c>
      <c r="D106" s="17">
        <f>C106+(C106*0.04)</f>
        <v>21014.929553309921</v>
      </c>
      <c r="E106" s="17">
        <f>C106/3250</f>
        <v>6.2174347790857754</v>
      </c>
      <c r="F106" s="28">
        <f>(D106-C106)/E106</f>
        <v>130.00000000000014</v>
      </c>
      <c r="G106" s="18"/>
      <c r="H106" s="18"/>
      <c r="I106" s="19">
        <f>E106*50/C106</f>
        <v>1.5384615384615385E-2</v>
      </c>
      <c r="J106" s="18">
        <f>C106-(E106*1080)</f>
        <v>13491.833470616133</v>
      </c>
    </row>
    <row r="107" spans="1:16" ht="13.5" thickBot="1">
      <c r="A107" s="89"/>
      <c r="B107" s="82">
        <f>B106+7</f>
        <v>43464</v>
      </c>
      <c r="C107" s="20">
        <f>D106+G106-H106</f>
        <v>21014.929553309921</v>
      </c>
      <c r="D107" s="17">
        <f>C107+(C107*0.04)</f>
        <v>21855.526735442319</v>
      </c>
      <c r="E107" s="17">
        <f>C107/3250</f>
        <v>6.4661321702492067</v>
      </c>
      <c r="F107" s="28">
        <f>(D107-C107)/E107</f>
        <v>130.00000000000023</v>
      </c>
      <c r="G107" s="81"/>
      <c r="H107" s="81">
        <f>(D107-C94)*0.35</f>
        <v>2871.620226813382</v>
      </c>
      <c r="I107" s="19">
        <f>E107*50/C107</f>
        <v>1.5384615384615385E-2</v>
      </c>
      <c r="J107" s="18">
        <f>C107-(E107*1080)</f>
        <v>14031.506809440778</v>
      </c>
      <c r="K107" s="90" t="s">
        <v>44</v>
      </c>
      <c r="L107" s="91"/>
      <c r="M107" s="91"/>
      <c r="N107" s="91"/>
      <c r="O107" s="91"/>
      <c r="P107" s="91"/>
    </row>
    <row r="108" spans="1:16" ht="13.5" thickBot="1">
      <c r="A108" s="79"/>
      <c r="B108" s="13"/>
      <c r="C108" s="22"/>
      <c r="D108" s="23"/>
      <c r="E108" s="23"/>
      <c r="F108" s="27"/>
      <c r="G108" s="23"/>
      <c r="H108" s="10"/>
      <c r="I108" s="24"/>
      <c r="J108" s="25"/>
    </row>
    <row r="109" spans="1:16">
      <c r="A109" s="87">
        <v>22</v>
      </c>
      <c r="B109" s="82">
        <f>B107+7</f>
        <v>43471</v>
      </c>
      <c r="C109" s="20">
        <f>D107+G107-H107</f>
        <v>18983.906508628937</v>
      </c>
      <c r="D109" s="17">
        <f>C109+(C109*0.04)</f>
        <v>19743.262768974095</v>
      </c>
      <c r="E109" s="17">
        <f>C109/3250</f>
        <v>5.8412020026550575</v>
      </c>
      <c r="F109" s="28">
        <f>(D109-C109)/E109</f>
        <v>129.99999999999997</v>
      </c>
      <c r="G109" s="18"/>
      <c r="H109" s="18"/>
      <c r="I109" s="19">
        <f>E109*50/C109</f>
        <v>1.5384615384615385E-2</v>
      </c>
      <c r="J109" s="18">
        <f>C109-(E109*1080)</f>
        <v>12675.408345761476</v>
      </c>
    </row>
    <row r="110" spans="1:16">
      <c r="A110" s="88"/>
      <c r="B110" s="82">
        <f>B109+7</f>
        <v>43478</v>
      </c>
      <c r="C110" s="20">
        <f>D109+G109-H109</f>
        <v>19743.262768974095</v>
      </c>
      <c r="D110" s="17">
        <f>C110+(C110*0.04)</f>
        <v>20532.993279733058</v>
      </c>
      <c r="E110" s="17">
        <f>C110/3250</f>
        <v>6.0748500827612597</v>
      </c>
      <c r="F110" s="28">
        <f>(D110-C110)/E110</f>
        <v>129.99999999999997</v>
      </c>
      <c r="G110" s="18"/>
      <c r="H110" s="18"/>
      <c r="I110" s="19">
        <f>E110*50/C110</f>
        <v>1.5384615384615385E-2</v>
      </c>
      <c r="J110" s="18">
        <f>C110-(E110*1080)</f>
        <v>13182.424679591935</v>
      </c>
    </row>
    <row r="111" spans="1:16">
      <c r="A111" s="88"/>
      <c r="B111" s="82">
        <f>B110+7</f>
        <v>43485</v>
      </c>
      <c r="C111" s="20">
        <f>D110+G110-H110</f>
        <v>20532.993279733058</v>
      </c>
      <c r="D111" s="17">
        <f>C111+(C111*0.04)</f>
        <v>21354.313010922382</v>
      </c>
      <c r="E111" s="17">
        <f>C111/3250</f>
        <v>6.3178440860717107</v>
      </c>
      <c r="F111" s="28">
        <f>(D111-C111)/E111</f>
        <v>130.0000000000002</v>
      </c>
      <c r="G111" s="18"/>
      <c r="H111" s="18"/>
      <c r="I111" s="19">
        <f>E111*50/C111</f>
        <v>1.5384615384615385E-2</v>
      </c>
      <c r="J111" s="18">
        <f>C111-(E111*1080)</f>
        <v>13709.721666775611</v>
      </c>
    </row>
    <row r="112" spans="1:16" ht="13.5" thickBot="1">
      <c r="A112" s="89"/>
      <c r="B112" s="82">
        <f>B111+7</f>
        <v>43492</v>
      </c>
      <c r="C112" s="20">
        <f>D111+G111-H111</f>
        <v>21354.313010922382</v>
      </c>
      <c r="D112" s="17">
        <f>C112+(C112*0.04)</f>
        <v>22208.485531359278</v>
      </c>
      <c r="E112" s="17">
        <f>C112/3250</f>
        <v>6.5705578495145787</v>
      </c>
      <c r="F112" s="28">
        <f>(D112-C112)/E112</f>
        <v>130.00000000000009</v>
      </c>
      <c r="G112" s="81"/>
      <c r="H112" s="81"/>
      <c r="I112" s="19">
        <f>E112*50/C112</f>
        <v>1.5384615384615384E-2</v>
      </c>
      <c r="J112" s="18">
        <f>C112-(E112*1080)</f>
        <v>14258.110533446637</v>
      </c>
      <c r="K112" s="95"/>
      <c r="L112" s="96"/>
      <c r="M112" s="96"/>
      <c r="N112" s="96"/>
      <c r="O112" s="96"/>
      <c r="P112" s="96"/>
    </row>
    <row r="113" spans="1:16" ht="13.5" thickBot="1">
      <c r="A113" s="79"/>
      <c r="B113" s="13"/>
      <c r="C113" s="22"/>
      <c r="D113" s="23"/>
      <c r="E113" s="23"/>
      <c r="F113" s="27"/>
      <c r="G113" s="23"/>
      <c r="H113" s="10"/>
      <c r="I113" s="24"/>
      <c r="J113" s="25"/>
    </row>
    <row r="114" spans="1:16">
      <c r="A114" s="87">
        <v>23</v>
      </c>
      <c r="B114" s="82">
        <f>B112+7</f>
        <v>43499</v>
      </c>
      <c r="C114" s="20">
        <f>D112+G112-H112</f>
        <v>22208.485531359278</v>
      </c>
      <c r="D114" s="17">
        <f>C114+(C114*0.04)</f>
        <v>23096.82495261365</v>
      </c>
      <c r="E114" s="17">
        <f>C114/3250</f>
        <v>6.8333801634951623</v>
      </c>
      <c r="F114" s="28">
        <f>(D114-C114)/E114</f>
        <v>130.00000000000009</v>
      </c>
      <c r="G114" s="18"/>
      <c r="H114" s="18"/>
      <c r="I114" s="19">
        <f>E114*50/C114</f>
        <v>1.5384615384615384E-2</v>
      </c>
      <c r="J114" s="18">
        <f>C114-(E114*1080)</f>
        <v>14828.434954784501</v>
      </c>
    </row>
    <row r="115" spans="1:16">
      <c r="A115" s="88"/>
      <c r="B115" s="82">
        <f>B114+7</f>
        <v>43506</v>
      </c>
      <c r="C115" s="20">
        <f>D114+G114-H114</f>
        <v>23096.82495261365</v>
      </c>
      <c r="D115" s="17">
        <f>C115+(C115*0.04)</f>
        <v>24020.697950718197</v>
      </c>
      <c r="E115" s="17">
        <f>C115/3250</f>
        <v>7.1067153700349692</v>
      </c>
      <c r="F115" s="28">
        <f>(D115-C115)/E115</f>
        <v>130.00000000000017</v>
      </c>
      <c r="G115" s="18"/>
      <c r="H115" s="18"/>
      <c r="I115" s="19">
        <f>E115*50/C115</f>
        <v>1.5384615384615385E-2</v>
      </c>
      <c r="J115" s="18">
        <f>C115-(E115*1080)</f>
        <v>15421.572352975883</v>
      </c>
    </row>
    <row r="116" spans="1:16">
      <c r="A116" s="88"/>
      <c r="B116" s="82">
        <f>B115+7</f>
        <v>43513</v>
      </c>
      <c r="C116" s="20">
        <f>D115+G115-H115</f>
        <v>24020.697950718197</v>
      </c>
      <c r="D116" s="17">
        <f>C116+(C116*0.04)</f>
        <v>24981.525868746925</v>
      </c>
      <c r="E116" s="17">
        <f>C116/3250</f>
        <v>7.3909839848363683</v>
      </c>
      <c r="F116" s="28">
        <f>(D116-C116)/E116</f>
        <v>130.00000000000003</v>
      </c>
      <c r="G116" s="18"/>
      <c r="H116" s="18"/>
      <c r="I116" s="19">
        <f>E116*50/C116</f>
        <v>1.5384615384615385E-2</v>
      </c>
      <c r="J116" s="18">
        <f>C116-(E116*1080)</f>
        <v>16038.43524709492</v>
      </c>
    </row>
    <row r="117" spans="1:16" ht="13.5" thickBot="1">
      <c r="A117" s="89"/>
      <c r="B117" s="82">
        <f>B116+7</f>
        <v>43520</v>
      </c>
      <c r="C117" s="20">
        <f>D116+G116-H116</f>
        <v>24981.525868746925</v>
      </c>
      <c r="D117" s="17">
        <f>C117+(C117*0.04)</f>
        <v>25980.786903496803</v>
      </c>
      <c r="E117" s="17">
        <f>C117/3250</f>
        <v>7.6866233442298233</v>
      </c>
      <c r="F117" s="28">
        <f>(D117-C117)/E117</f>
        <v>130.00000000000009</v>
      </c>
      <c r="G117" s="81"/>
      <c r="H117" s="81"/>
      <c r="I117" s="19">
        <f>E117*50/C117</f>
        <v>1.5384615384615385E-2</v>
      </c>
      <c r="J117" s="18">
        <f>C117-(E117*1080)</f>
        <v>16679.972656978716</v>
      </c>
      <c r="K117" s="95"/>
      <c r="L117" s="96"/>
      <c r="M117" s="96"/>
      <c r="N117" s="96"/>
      <c r="O117" s="96"/>
      <c r="P117" s="96"/>
    </row>
    <row r="118" spans="1:16" ht="13.5" thickBot="1">
      <c r="A118" s="79"/>
      <c r="B118" s="13"/>
      <c r="C118" s="22"/>
      <c r="D118" s="23"/>
      <c r="E118" s="23"/>
      <c r="F118" s="27"/>
      <c r="G118" s="23"/>
      <c r="H118" s="10"/>
      <c r="I118" s="24"/>
      <c r="J118" s="25"/>
    </row>
    <row r="119" spans="1:16">
      <c r="A119" s="87">
        <v>24</v>
      </c>
      <c r="B119" s="82">
        <f>B117+7</f>
        <v>43527</v>
      </c>
      <c r="C119" s="20">
        <f>D117+G117-H117</f>
        <v>25980.786903496803</v>
      </c>
      <c r="D119" s="17">
        <f>C119+(C119*0.04)</f>
        <v>27020.018379636676</v>
      </c>
      <c r="E119" s="17">
        <f>C119/3250</f>
        <v>7.9940882779990163</v>
      </c>
      <c r="F119" s="28">
        <f>(D119-C119)/E119</f>
        <v>130.00000000000023</v>
      </c>
      <c r="G119" s="18"/>
      <c r="H119" s="18"/>
      <c r="I119" s="19">
        <f>E119*50/C119</f>
        <v>1.5384615384615384E-2</v>
      </c>
      <c r="J119" s="18">
        <f>C119-(E119*1080)</f>
        <v>17347.171563257863</v>
      </c>
    </row>
    <row r="120" spans="1:16">
      <c r="A120" s="88"/>
      <c r="B120" s="82">
        <f>B119+7</f>
        <v>43534</v>
      </c>
      <c r="C120" s="20">
        <f>D119+G119-H119</f>
        <v>27020.018379636676</v>
      </c>
      <c r="D120" s="17">
        <f>C120+(C120*0.04)</f>
        <v>28100.819114822145</v>
      </c>
      <c r="E120" s="17">
        <f>C120/3250</f>
        <v>8.3138518091189777</v>
      </c>
      <c r="F120" s="28">
        <f>(D120-C120)/E120</f>
        <v>130.00000000000017</v>
      </c>
      <c r="G120" s="18"/>
      <c r="H120" s="18"/>
      <c r="I120" s="19">
        <f>E120*50/C120</f>
        <v>1.5384615384615385E-2</v>
      </c>
      <c r="J120" s="18">
        <f>C120-(E120*1080)</f>
        <v>18041.058425788178</v>
      </c>
    </row>
    <row r="121" spans="1:16">
      <c r="A121" s="88"/>
      <c r="B121" s="82">
        <f>B120+7</f>
        <v>43541</v>
      </c>
      <c r="C121" s="20">
        <f>D120+G120-H120</f>
        <v>28100.819114822145</v>
      </c>
      <c r="D121" s="17">
        <f>C121+(C121*0.04)</f>
        <v>29224.85187941503</v>
      </c>
      <c r="E121" s="17">
        <f>C121/3250</f>
        <v>8.6464058814837372</v>
      </c>
      <c r="F121" s="28">
        <f>(D121-C121)/E121</f>
        <v>129.99999999999986</v>
      </c>
      <c r="G121" s="18"/>
      <c r="H121" s="18"/>
      <c r="I121" s="19">
        <f>E121*50/C121</f>
        <v>1.5384615384615385E-2</v>
      </c>
      <c r="J121" s="18">
        <f>C121-(E121*1080)</f>
        <v>18762.70076281971</v>
      </c>
    </row>
    <row r="122" spans="1:16" ht="13.5" thickBot="1">
      <c r="A122" s="89"/>
      <c r="B122" s="82">
        <f>B121+7</f>
        <v>43548</v>
      </c>
      <c r="C122" s="20">
        <f>D121+G121-H121</f>
        <v>29224.85187941503</v>
      </c>
      <c r="D122" s="17">
        <f>C122+(C122*0.04)</f>
        <v>30393.84595459163</v>
      </c>
      <c r="E122" s="17">
        <f>C122/3250</f>
        <v>8.9922621167430865</v>
      </c>
      <c r="F122" s="28">
        <f>(D122-C122)/E122</f>
        <v>129.99999999999994</v>
      </c>
      <c r="G122" s="81"/>
      <c r="H122" s="81">
        <f>(D122-C109)*0.35</f>
        <v>3993.4788060869423</v>
      </c>
      <c r="I122" s="19">
        <f>E122*50/C122</f>
        <v>1.5384615384615385E-2</v>
      </c>
      <c r="J122" s="18">
        <f>C122-(E122*1080)</f>
        <v>19513.208793332495</v>
      </c>
      <c r="K122" s="90" t="s">
        <v>44</v>
      </c>
      <c r="L122" s="91"/>
      <c r="M122" s="91"/>
      <c r="N122" s="91"/>
      <c r="O122" s="91"/>
      <c r="P122" s="91"/>
    </row>
    <row r="123" spans="1:16" ht="13.5" thickBot="1">
      <c r="A123" s="79"/>
      <c r="B123" s="13"/>
      <c r="C123" s="22"/>
      <c r="D123" s="23"/>
      <c r="E123" s="23"/>
      <c r="F123" s="27"/>
      <c r="G123" s="23"/>
      <c r="H123" s="10"/>
      <c r="I123" s="24"/>
      <c r="J123" s="25"/>
    </row>
    <row r="124" spans="1:16">
      <c r="A124" s="87">
        <v>25</v>
      </c>
      <c r="B124" s="82">
        <f>B122+7</f>
        <v>43555</v>
      </c>
      <c r="C124" s="20">
        <f>D122+G122-H122</f>
        <v>26400.367148504687</v>
      </c>
      <c r="D124" s="17">
        <f>C124+(C124*0.04)</f>
        <v>27456.381834444874</v>
      </c>
      <c r="E124" s="17">
        <f>C124/3250</f>
        <v>8.1231898918475967</v>
      </c>
      <c r="F124" s="28">
        <f>(D124-C124)/E124</f>
        <v>129.99999999999989</v>
      </c>
      <c r="G124" s="17"/>
      <c r="H124" s="18"/>
      <c r="I124" s="19">
        <f>E124*50/C124</f>
        <v>1.5384615384615385E-2</v>
      </c>
      <c r="J124" s="18">
        <f>C124-(E124*1080)</f>
        <v>17627.322065309283</v>
      </c>
    </row>
    <row r="125" spans="1:16">
      <c r="A125" s="88"/>
      <c r="B125" s="82">
        <f>B124+7</f>
        <v>43562</v>
      </c>
      <c r="C125" s="20">
        <f>D124+G124-H124</f>
        <v>27456.381834444874</v>
      </c>
      <c r="D125" s="17">
        <f>C125+(C125*0.04)</f>
        <v>28554.637107822669</v>
      </c>
      <c r="E125" s="17">
        <f>C125/3250</f>
        <v>8.4481174875215004</v>
      </c>
      <c r="F125" s="28">
        <f>(D125-C125)/E125</f>
        <v>130.00000000000009</v>
      </c>
      <c r="G125" s="17"/>
      <c r="H125" s="18"/>
      <c r="I125" s="19">
        <f>E125*50/C125</f>
        <v>1.5384615384615385E-2</v>
      </c>
      <c r="J125" s="18">
        <f>C125-(E125*1080)</f>
        <v>18332.414947921654</v>
      </c>
      <c r="K125" s="31"/>
      <c r="L125" s="31"/>
    </row>
    <row r="126" spans="1:16">
      <c r="A126" s="88"/>
      <c r="B126" s="82">
        <f>B125+7</f>
        <v>43569</v>
      </c>
      <c r="C126" s="20">
        <f>D125+G125-H125</f>
        <v>28554.637107822669</v>
      </c>
      <c r="D126" s="17">
        <f>C126+(C126*0.04)</f>
        <v>29696.822592135577</v>
      </c>
      <c r="E126" s="17">
        <f>C126/3250</f>
        <v>8.7860421870223604</v>
      </c>
      <c r="F126" s="28">
        <f>(D126-C126)/E126</f>
        <v>130.00000000000009</v>
      </c>
      <c r="G126" s="17"/>
      <c r="H126" s="18"/>
      <c r="I126" s="19">
        <f>E126*50/C126</f>
        <v>1.5384615384615385E-2</v>
      </c>
      <c r="J126" s="18">
        <f>C126-(E126*1080)</f>
        <v>19065.71154583852</v>
      </c>
      <c r="K126" s="31"/>
      <c r="L126" s="31"/>
    </row>
    <row r="127" spans="1:16" ht="13.5" thickBot="1">
      <c r="A127" s="89"/>
      <c r="B127" s="82">
        <f>B126+7</f>
        <v>43576</v>
      </c>
      <c r="C127" s="20">
        <f>D126+G126-H126</f>
        <v>29696.822592135577</v>
      </c>
      <c r="D127" s="17">
        <f>C127+(C127*0.04)</f>
        <v>30884.695495821001</v>
      </c>
      <c r="E127" s="17">
        <f>C127/3250</f>
        <v>9.1374838745032552</v>
      </c>
      <c r="F127" s="28">
        <f>(D127-C127)/E127</f>
        <v>130.00000000000006</v>
      </c>
      <c r="G127" s="81"/>
      <c r="H127" s="81"/>
      <c r="I127" s="19">
        <f>E127*50/C127</f>
        <v>1.5384615384615385E-2</v>
      </c>
      <c r="J127" s="18">
        <f>C127-(E127*1080)</f>
        <v>19828.340007672061</v>
      </c>
      <c r="K127" s="95"/>
      <c r="L127" s="96"/>
      <c r="M127" s="96"/>
      <c r="N127" s="96"/>
      <c r="O127" s="96"/>
      <c r="P127" s="96"/>
    </row>
    <row r="128" spans="1:16" ht="13.5" thickBot="1">
      <c r="A128" s="79"/>
      <c r="B128" s="13"/>
      <c r="C128" s="22"/>
      <c r="D128" s="23"/>
      <c r="E128" s="23"/>
      <c r="F128" s="27"/>
      <c r="G128" s="23"/>
      <c r="H128" s="10"/>
      <c r="I128" s="24"/>
      <c r="J128" s="25"/>
    </row>
    <row r="129" spans="1:16">
      <c r="A129" s="87">
        <v>26</v>
      </c>
      <c r="B129" s="82">
        <f>B127+7</f>
        <v>43583</v>
      </c>
      <c r="C129" s="20">
        <f>D127+G127-H127</f>
        <v>30884.695495821001</v>
      </c>
      <c r="D129" s="17">
        <f>C129+(C129*0.04)</f>
        <v>32120.083315653839</v>
      </c>
      <c r="E129" s="17">
        <f>C129/3250</f>
        <v>9.5029832294833856</v>
      </c>
      <c r="F129" s="28">
        <f>(D129-C129)/E129</f>
        <v>129.99999999999983</v>
      </c>
      <c r="G129" s="18"/>
      <c r="H129" s="18"/>
      <c r="I129" s="19">
        <f>E129*50/C129</f>
        <v>1.5384615384615385E-2</v>
      </c>
      <c r="J129" s="18">
        <f>C129-(E129*1080)</f>
        <v>20621.473607978944</v>
      </c>
    </row>
    <row r="130" spans="1:16">
      <c r="A130" s="88"/>
      <c r="B130" s="82">
        <f>B129+7</f>
        <v>43590</v>
      </c>
      <c r="C130" s="20">
        <f>D129+G129-H129</f>
        <v>32120.083315653839</v>
      </c>
      <c r="D130" s="17">
        <f>C130+(C130*0.04)</f>
        <v>33404.886648279993</v>
      </c>
      <c r="E130" s="17">
        <f>C130/3250</f>
        <v>9.8831025586627206</v>
      </c>
      <c r="F130" s="28">
        <f>(D130-C130)/E130</f>
        <v>130.00000000000003</v>
      </c>
      <c r="G130" s="18"/>
      <c r="H130" s="18"/>
      <c r="I130" s="19">
        <f>E130*50/C130</f>
        <v>1.5384615384615385E-2</v>
      </c>
      <c r="J130" s="18">
        <f>C130-(E130*1080)</f>
        <v>21446.332552298103</v>
      </c>
    </row>
    <row r="131" spans="1:16">
      <c r="A131" s="88"/>
      <c r="B131" s="82">
        <f>B130+7</f>
        <v>43597</v>
      </c>
      <c r="C131" s="20">
        <f>D130+G130-H130</f>
        <v>33404.886648279993</v>
      </c>
      <c r="D131" s="17">
        <f>C131+(C131*0.04)</f>
        <v>34741.082114211196</v>
      </c>
      <c r="E131" s="17">
        <f>C131/3250</f>
        <v>10.278426661009229</v>
      </c>
      <c r="F131" s="28">
        <f>(D131-C131)/E131</f>
        <v>130.00000000000034</v>
      </c>
      <c r="G131" s="18"/>
      <c r="H131" s="18"/>
      <c r="I131" s="19">
        <f>E131*50/C131</f>
        <v>1.5384615384615387E-2</v>
      </c>
      <c r="J131" s="18">
        <f>C131-(E131*1080)</f>
        <v>22304.185854390023</v>
      </c>
    </row>
    <row r="132" spans="1:16" ht="13.5" thickBot="1">
      <c r="A132" s="89"/>
      <c r="B132" s="82">
        <f>B131+7</f>
        <v>43604</v>
      </c>
      <c r="C132" s="20">
        <f>D131+G131-H131</f>
        <v>34741.082114211196</v>
      </c>
      <c r="D132" s="17">
        <f>C132+(C132*0.04)</f>
        <v>36130.725398779643</v>
      </c>
      <c r="E132" s="17">
        <f>C132/3250</f>
        <v>10.689563727449599</v>
      </c>
      <c r="F132" s="28">
        <f>(D132-C132)/E132</f>
        <v>129.99999999999989</v>
      </c>
      <c r="G132" s="81"/>
      <c r="H132" s="81"/>
      <c r="I132" s="19">
        <f>E132*50/C132</f>
        <v>1.5384615384615385E-2</v>
      </c>
      <c r="J132" s="18">
        <f>C132-(E132*1080)</f>
        <v>23196.353288565631</v>
      </c>
      <c r="K132" s="95"/>
      <c r="L132" s="96"/>
      <c r="M132" s="96"/>
      <c r="N132" s="96"/>
      <c r="O132" s="96"/>
      <c r="P132" s="96"/>
    </row>
    <row r="133" spans="1:16" ht="13.5" thickBot="1">
      <c r="A133" s="79"/>
      <c r="B133" s="13"/>
      <c r="C133" s="22"/>
      <c r="D133" s="23"/>
      <c r="E133" s="23"/>
      <c r="F133" s="27"/>
      <c r="G133" s="23"/>
      <c r="H133" s="10"/>
      <c r="I133" s="24"/>
      <c r="J133" s="25"/>
    </row>
    <row r="134" spans="1:16">
      <c r="A134" s="87">
        <v>27</v>
      </c>
      <c r="B134" s="82">
        <f>B132+7</f>
        <v>43611</v>
      </c>
      <c r="C134" s="20">
        <f>D132+G132-H132</f>
        <v>36130.725398779643</v>
      </c>
      <c r="D134" s="17">
        <f>C134+(C134*0.04)</f>
        <v>37575.954414730826</v>
      </c>
      <c r="E134" s="17">
        <f>C134/3250</f>
        <v>11.117146276547583</v>
      </c>
      <c r="F134" s="28">
        <f>(D134-C134)/E134</f>
        <v>129.99999999999974</v>
      </c>
      <c r="G134" s="18"/>
      <c r="H134" s="18"/>
      <c r="I134" s="19">
        <f>E134*50/C134</f>
        <v>1.5384615384615385E-2</v>
      </c>
      <c r="J134" s="18">
        <f>C134-(E134*1080)</f>
        <v>24124.207420108254</v>
      </c>
    </row>
    <row r="135" spans="1:16">
      <c r="A135" s="88"/>
      <c r="B135" s="82">
        <f>B134+7</f>
        <v>43618</v>
      </c>
      <c r="C135" s="20">
        <f>D134+G134-H134</f>
        <v>37575.954414730826</v>
      </c>
      <c r="D135" s="17">
        <f>C135+(C135*0.04)</f>
        <v>39078.992591320057</v>
      </c>
      <c r="E135" s="17">
        <f>C135/3250</f>
        <v>11.561832127609485</v>
      </c>
      <c r="F135" s="28">
        <f>(D135-C135)/E135</f>
        <v>129.9999999999998</v>
      </c>
      <c r="G135" s="18"/>
      <c r="H135" s="18"/>
      <c r="I135" s="19">
        <f>E135*50/C135</f>
        <v>1.5384615384615384E-2</v>
      </c>
      <c r="J135" s="18">
        <f>C135-(E135*1080)</f>
        <v>25089.175716912585</v>
      </c>
    </row>
    <row r="136" spans="1:16">
      <c r="A136" s="88"/>
      <c r="B136" s="82">
        <f>B135+7</f>
        <v>43625</v>
      </c>
      <c r="C136" s="20">
        <f>D135+G135-H135</f>
        <v>39078.992591320057</v>
      </c>
      <c r="D136" s="17">
        <f>C136+(C136*0.04)</f>
        <v>40642.152294972861</v>
      </c>
      <c r="E136" s="17">
        <f>C136/3250</f>
        <v>12.024305412713863</v>
      </c>
      <c r="F136" s="28">
        <f>(D136-C136)/E136</f>
        <v>130.00000000000011</v>
      </c>
      <c r="G136" s="18"/>
      <c r="H136" s="18"/>
      <c r="I136" s="19">
        <f>E136*50/C136</f>
        <v>1.5384615384615384E-2</v>
      </c>
      <c r="J136" s="18">
        <f>C136-(E136*1080)</f>
        <v>26092.742745589087</v>
      </c>
    </row>
    <row r="137" spans="1:16" ht="13.5" thickBot="1">
      <c r="A137" s="89"/>
      <c r="B137" s="82">
        <f>B136+7</f>
        <v>43632</v>
      </c>
      <c r="C137" s="20">
        <f>D136+G136-H136</f>
        <v>40642.152294972861</v>
      </c>
      <c r="D137" s="17">
        <f>C137+(C137*0.04)</f>
        <v>42267.838386771778</v>
      </c>
      <c r="E137" s="17">
        <f>C137/3250</f>
        <v>12.505277629222419</v>
      </c>
      <c r="F137" s="28">
        <f>(D137-C137)/E137</f>
        <v>130.00000000000028</v>
      </c>
      <c r="G137" s="81"/>
      <c r="H137" s="81">
        <f>(D137-C124)*0.35</f>
        <v>5553.6149333934818</v>
      </c>
      <c r="I137" s="19">
        <f>E137*50/C137</f>
        <v>1.5384615384615385E-2</v>
      </c>
      <c r="J137" s="18">
        <f>C137-(E137*1080)</f>
        <v>27136.452455412647</v>
      </c>
      <c r="K137" s="90" t="s">
        <v>44</v>
      </c>
      <c r="L137" s="91"/>
      <c r="M137" s="91"/>
      <c r="N137" s="91"/>
      <c r="O137" s="91"/>
      <c r="P137" s="91"/>
    </row>
    <row r="138" spans="1:16" ht="13.5" thickBot="1">
      <c r="A138" s="79"/>
      <c r="B138" s="13"/>
      <c r="C138" s="22"/>
      <c r="D138" s="23"/>
      <c r="E138" s="23"/>
      <c r="F138" s="27"/>
      <c r="G138" s="23"/>
      <c r="H138" s="10"/>
      <c r="I138" s="24"/>
      <c r="J138" s="25"/>
    </row>
    <row r="139" spans="1:16">
      <c r="A139" s="87">
        <v>28</v>
      </c>
      <c r="B139" s="82">
        <f>B137+7</f>
        <v>43639</v>
      </c>
      <c r="C139" s="20">
        <f>D137+G137-H137</f>
        <v>36714.223453378298</v>
      </c>
      <c r="D139" s="17">
        <f>C139+(C139*0.04)</f>
        <v>38182.792391513431</v>
      </c>
      <c r="E139" s="17">
        <f>C139/3250</f>
        <v>11.296684139501014</v>
      </c>
      <c r="F139" s="28">
        <f>(D139-C139)/E139</f>
        <v>130.00000000000011</v>
      </c>
      <c r="G139" s="18"/>
      <c r="H139" s="18"/>
      <c r="I139" s="19">
        <f>E139*50/C139</f>
        <v>1.5384615384615385E-2</v>
      </c>
      <c r="J139" s="18">
        <f>C139-(E139*1080)</f>
        <v>24513.804582717203</v>
      </c>
    </row>
    <row r="140" spans="1:16">
      <c r="A140" s="88"/>
      <c r="B140" s="82">
        <f>B139+7</f>
        <v>43646</v>
      </c>
      <c r="C140" s="20">
        <f>D139+G139-H139</f>
        <v>38182.792391513431</v>
      </c>
      <c r="D140" s="17">
        <f>C140+(C140*0.04)</f>
        <v>39710.104087173968</v>
      </c>
      <c r="E140" s="17">
        <f>C140/3250</f>
        <v>11.748551505081055</v>
      </c>
      <c r="F140" s="28">
        <f>(D140-C140)/E140</f>
        <v>130</v>
      </c>
      <c r="G140" s="18"/>
      <c r="H140" s="18"/>
      <c r="I140" s="19">
        <f>E140*50/C140</f>
        <v>1.5384615384615384E-2</v>
      </c>
      <c r="J140" s="18">
        <f>C140-(E140*1080)</f>
        <v>25494.356766025892</v>
      </c>
    </row>
    <row r="141" spans="1:16">
      <c r="A141" s="88"/>
      <c r="B141" s="82">
        <f>B140+7</f>
        <v>43653</v>
      </c>
      <c r="C141" s="20">
        <f>D140+G140-H140</f>
        <v>39710.104087173968</v>
      </c>
      <c r="D141" s="17">
        <f>C141+(C141*0.04)</f>
        <v>41298.508250660925</v>
      </c>
      <c r="E141" s="17">
        <f>C141/3250</f>
        <v>12.218493565284298</v>
      </c>
      <c r="F141" s="28">
        <f>(D141-C141)/E141</f>
        <v>129.99999999999989</v>
      </c>
      <c r="G141" s="18"/>
      <c r="H141" s="18"/>
      <c r="I141" s="19">
        <f>E141*50/C141</f>
        <v>1.5384615384615385E-2</v>
      </c>
      <c r="J141" s="18">
        <f>C141-(E141*1080)</f>
        <v>26514.131036666928</v>
      </c>
    </row>
    <row r="142" spans="1:16" ht="13.5" thickBot="1">
      <c r="A142" s="89"/>
      <c r="B142" s="82">
        <f>B141+7</f>
        <v>43660</v>
      </c>
      <c r="C142" s="20">
        <f>D141+G141-H141</f>
        <v>41298.508250660925</v>
      </c>
      <c r="D142" s="17">
        <f>C142+(C142*0.04)</f>
        <v>42950.448580687364</v>
      </c>
      <c r="E142" s="17">
        <f>C142/3250</f>
        <v>12.707233307895669</v>
      </c>
      <c r="F142" s="28">
        <f>(D142-C142)/E142</f>
        <v>130.00000000000011</v>
      </c>
      <c r="G142" s="81"/>
      <c r="H142" s="81"/>
      <c r="I142" s="19">
        <f>E142*50/C142</f>
        <v>1.5384615384615385E-2</v>
      </c>
      <c r="J142" s="18">
        <f>C142-(E142*1080)</f>
        <v>27574.696278133604</v>
      </c>
      <c r="K142" s="95"/>
      <c r="L142" s="96"/>
      <c r="M142" s="96"/>
      <c r="N142" s="96"/>
      <c r="O142" s="96"/>
      <c r="P142" s="96"/>
    </row>
    <row r="143" spans="1:16" ht="13.5" thickBot="1">
      <c r="A143" s="79"/>
      <c r="B143" s="13"/>
      <c r="C143" s="22"/>
      <c r="D143" s="23"/>
      <c r="E143" s="23"/>
      <c r="F143" s="27"/>
      <c r="G143" s="23"/>
      <c r="H143" s="10"/>
      <c r="I143" s="24"/>
      <c r="J143" s="25"/>
    </row>
    <row r="144" spans="1:16">
      <c r="A144" s="87">
        <v>29</v>
      </c>
      <c r="B144" s="82">
        <f>B142+7</f>
        <v>43667</v>
      </c>
      <c r="C144" s="20">
        <f>D142+G142-H142</f>
        <v>42950.448580687364</v>
      </c>
      <c r="D144" s="17">
        <f>C144+(C144*0.04)</f>
        <v>44668.46652391486</v>
      </c>
      <c r="E144" s="17">
        <f>C144/3250</f>
        <v>13.215522640211496</v>
      </c>
      <c r="F144" s="28">
        <f>(D144-C144)/E144</f>
        <v>130.00000000000014</v>
      </c>
      <c r="G144" s="18"/>
      <c r="H144" s="18"/>
      <c r="I144" s="19">
        <f>E144*50/C144</f>
        <v>1.5384615384615384E-2</v>
      </c>
      <c r="J144" s="18">
        <f>C144-(E144*1080)</f>
        <v>28677.684129258945</v>
      </c>
    </row>
    <row r="145" spans="1:16">
      <c r="A145" s="88"/>
      <c r="B145" s="82">
        <f>B144+7</f>
        <v>43674</v>
      </c>
      <c r="C145" s="20">
        <f>D144+G144-H144</f>
        <v>44668.46652391486</v>
      </c>
      <c r="D145" s="17">
        <f>C145+(C145*0.04)</f>
        <v>46455.205184871455</v>
      </c>
      <c r="E145" s="17">
        <f>C145/3250</f>
        <v>13.744143545819957</v>
      </c>
      <c r="F145" s="28">
        <f>(D145-C145)/E145</f>
        <v>130.00000000000003</v>
      </c>
      <c r="G145" s="18"/>
      <c r="H145" s="18"/>
      <c r="I145" s="19">
        <f>E145*50/C145</f>
        <v>1.5384615384615384E-2</v>
      </c>
      <c r="J145" s="18">
        <f>C145-(E145*1080)</f>
        <v>29824.791494429308</v>
      </c>
    </row>
    <row r="146" spans="1:16">
      <c r="A146" s="88"/>
      <c r="B146" s="82">
        <f>B145+7</f>
        <v>43681</v>
      </c>
      <c r="C146" s="20">
        <f>D145+G145-H145</f>
        <v>46455.205184871455</v>
      </c>
      <c r="D146" s="17">
        <f>C146+(C146*0.04)</f>
        <v>48313.41339226631</v>
      </c>
      <c r="E146" s="17">
        <f>C146/3250</f>
        <v>14.293909287652756</v>
      </c>
      <c r="F146" s="28">
        <f>(D146-C146)/E146</f>
        <v>129.99999999999977</v>
      </c>
      <c r="G146" s="18"/>
      <c r="H146" s="18"/>
      <c r="I146" s="19">
        <f>E146*50/C146</f>
        <v>1.5384615384615387E-2</v>
      </c>
      <c r="J146" s="18">
        <f>C146-(E146*1080)</f>
        <v>31017.783154206478</v>
      </c>
    </row>
    <row r="147" spans="1:16" ht="13.5" thickBot="1">
      <c r="A147" s="89"/>
      <c r="B147" s="82">
        <f>B146+7</f>
        <v>43688</v>
      </c>
      <c r="C147" s="20">
        <f>D146+G146-H146</f>
        <v>48313.41339226631</v>
      </c>
      <c r="D147" s="17">
        <f>C147+(C147*0.04)</f>
        <v>50245.949927956965</v>
      </c>
      <c r="E147" s="17">
        <f>C147/3250</f>
        <v>14.865665659158864</v>
      </c>
      <c r="F147" s="28">
        <f>(D147-C147)/E147</f>
        <v>130.00000000000017</v>
      </c>
      <c r="G147" s="81"/>
      <c r="H147" s="81"/>
      <c r="I147" s="19">
        <f>E147*50/C147</f>
        <v>1.5384615384615385E-2</v>
      </c>
      <c r="J147" s="18">
        <f>C147-(E147*1080)</f>
        <v>32258.494480374735</v>
      </c>
      <c r="K147" s="95"/>
      <c r="L147" s="96"/>
      <c r="M147" s="96"/>
      <c r="N147" s="96"/>
      <c r="O147" s="96"/>
      <c r="P147" s="96"/>
    </row>
    <row r="148" spans="1:16" ht="13.5" thickBot="1">
      <c r="A148" s="79"/>
      <c r="B148" s="13"/>
      <c r="C148" s="22"/>
      <c r="D148" s="23"/>
      <c r="E148" s="23"/>
      <c r="F148" s="27"/>
      <c r="G148" s="23"/>
      <c r="H148" s="10"/>
      <c r="I148" s="24"/>
      <c r="J148" s="25"/>
    </row>
    <row r="149" spans="1:16">
      <c r="A149" s="87">
        <v>30</v>
      </c>
      <c r="B149" s="82">
        <f>B147+7</f>
        <v>43695</v>
      </c>
      <c r="C149" s="20">
        <f>D147+G147-H147</f>
        <v>50245.949927956965</v>
      </c>
      <c r="D149" s="17">
        <f>C149+(C149*0.04)</f>
        <v>52255.787925075245</v>
      </c>
      <c r="E149" s="17">
        <f>C149/3250</f>
        <v>15.46029228552522</v>
      </c>
      <c r="F149" s="28">
        <f>(D149-C149)/E149</f>
        <v>130.00000000000011</v>
      </c>
      <c r="G149" s="18"/>
      <c r="H149" s="18"/>
      <c r="I149" s="19">
        <f>E149*50/C149</f>
        <v>1.5384615384615385E-2</v>
      </c>
      <c r="J149" s="18">
        <f>C149-(E149*1080)</f>
        <v>33548.834259589727</v>
      </c>
    </row>
    <row r="150" spans="1:16">
      <c r="A150" s="88"/>
      <c r="B150" s="82">
        <f>B149+7</f>
        <v>43702</v>
      </c>
      <c r="C150" s="20">
        <f>D149+G149-H149</f>
        <v>52255.787925075245</v>
      </c>
      <c r="D150" s="17">
        <f>C150+(C150*0.04)</f>
        <v>54346.019442078257</v>
      </c>
      <c r="E150" s="17">
        <f>C150/3250</f>
        <v>16.07870397694623</v>
      </c>
      <c r="F150" s="28">
        <f>(D150-C150)/E150</f>
        <v>130.00000000000017</v>
      </c>
      <c r="G150" s="18"/>
      <c r="H150" s="18"/>
      <c r="I150" s="19">
        <f>E150*50/C150</f>
        <v>1.5384615384615385E-2</v>
      </c>
      <c r="J150" s="18">
        <f>C150-(E150*1080)</f>
        <v>34890.787629973318</v>
      </c>
    </row>
    <row r="151" spans="1:16">
      <c r="A151" s="88"/>
      <c r="B151" s="82">
        <f>B150+7</f>
        <v>43709</v>
      </c>
      <c r="C151" s="20">
        <f>D150+G150-H150</f>
        <v>54346.019442078257</v>
      </c>
      <c r="D151" s="17">
        <f>C151+(C151*0.04)</f>
        <v>56519.860219761387</v>
      </c>
      <c r="E151" s="17">
        <f>C151/3250</f>
        <v>16.721852136024079</v>
      </c>
      <c r="F151" s="28">
        <f>(D151-C151)/E151</f>
        <v>129.99999999999997</v>
      </c>
      <c r="G151" s="18"/>
      <c r="H151" s="18"/>
      <c r="I151" s="19">
        <f>E151*50/C151</f>
        <v>1.5384615384615384E-2</v>
      </c>
      <c r="J151" s="18">
        <f>C151-(E151*1080)</f>
        <v>36286.419135172255</v>
      </c>
    </row>
    <row r="152" spans="1:16" ht="13.5" thickBot="1">
      <c r="A152" s="89"/>
      <c r="B152" s="82">
        <f>B151+7</f>
        <v>43716</v>
      </c>
      <c r="C152" s="20">
        <f>D151+G151-H151</f>
        <v>56519.860219761387</v>
      </c>
      <c r="D152" s="17">
        <f>C152+(C152*0.04)</f>
        <v>58780.654628551842</v>
      </c>
      <c r="E152" s="17">
        <f>C152/3250</f>
        <v>17.390726221465041</v>
      </c>
      <c r="F152" s="28">
        <f>(D152-C152)/E152</f>
        <v>129.99999999999994</v>
      </c>
      <c r="G152" s="81"/>
      <c r="H152" s="81">
        <f>(D152-C139)*0.35</f>
        <v>7723.2509113107399</v>
      </c>
      <c r="I152" s="19">
        <f>E152*50/C152</f>
        <v>1.5384615384615384E-2</v>
      </c>
      <c r="J152" s="18">
        <f>C152-(E152*1080)</f>
        <v>37737.875900579143</v>
      </c>
      <c r="K152" s="90" t="s">
        <v>44</v>
      </c>
      <c r="L152" s="91"/>
      <c r="M152" s="91"/>
      <c r="N152" s="91"/>
      <c r="O152" s="91"/>
      <c r="P152" s="91"/>
    </row>
    <row r="153" spans="1:16" ht="13.5" thickBot="1">
      <c r="A153" s="79"/>
      <c r="B153" s="13"/>
      <c r="C153" s="22"/>
      <c r="D153" s="23"/>
      <c r="E153" s="23"/>
      <c r="F153" s="27"/>
      <c r="G153" s="23"/>
      <c r="H153" s="10"/>
      <c r="I153" s="24"/>
      <c r="J153" s="25"/>
    </row>
    <row r="154" spans="1:16">
      <c r="A154" s="87">
        <v>31</v>
      </c>
      <c r="B154" s="82">
        <f>B152+7</f>
        <v>43723</v>
      </c>
      <c r="C154" s="20">
        <f>D152+G152-H152</f>
        <v>51057.403717241104</v>
      </c>
      <c r="D154" s="17">
        <f>C154+(C154*0.04)</f>
        <v>53099.69986593075</v>
      </c>
      <c r="E154" s="17">
        <f>C154/3250</f>
        <v>15.709970374535725</v>
      </c>
      <c r="F154" s="28">
        <f>(D154-C154)/E154</f>
        <v>130.00000000000009</v>
      </c>
      <c r="G154" s="17"/>
      <c r="H154" s="80"/>
      <c r="I154" s="19">
        <f>E154*50/C154</f>
        <v>1.5384615384615385E-2</v>
      </c>
      <c r="J154" s="18">
        <f>C154-(E154*1080)</f>
        <v>34090.635712742522</v>
      </c>
    </row>
    <row r="155" spans="1:16">
      <c r="A155" s="88"/>
      <c r="B155" s="82">
        <f>B154+7</f>
        <v>43730</v>
      </c>
      <c r="C155" s="20">
        <f>D154+G154-H154</f>
        <v>53099.69986593075</v>
      </c>
      <c r="D155" s="17">
        <f>C155+(C155*0.04)</f>
        <v>55223.687860567981</v>
      </c>
      <c r="E155" s="17">
        <f>C155/3250</f>
        <v>16.338369189517152</v>
      </c>
      <c r="F155" s="28">
        <f>(D155-C155)/E155</f>
        <v>130.00000000000009</v>
      </c>
      <c r="G155" s="17"/>
      <c r="H155" s="80"/>
      <c r="I155" s="19">
        <f>E155*50/C155</f>
        <v>1.5384615384615384E-2</v>
      </c>
      <c r="J155" s="18">
        <f>C155-(E155*1080)</f>
        <v>35454.261141252224</v>
      </c>
    </row>
    <row r="156" spans="1:16">
      <c r="A156" s="88"/>
      <c r="B156" s="82">
        <f>B155+7</f>
        <v>43737</v>
      </c>
      <c r="C156" s="20">
        <f>D155+G155-H155</f>
        <v>55223.687860567981</v>
      </c>
      <c r="D156" s="17">
        <f>C156+(C156*0.04)</f>
        <v>57432.635374990699</v>
      </c>
      <c r="E156" s="17">
        <f>C156/3250</f>
        <v>16.99190395709784</v>
      </c>
      <c r="F156" s="28">
        <f>(D156-C156)/E156</f>
        <v>129.99999999999994</v>
      </c>
      <c r="G156" s="17"/>
      <c r="H156" s="80"/>
      <c r="I156" s="19">
        <f>E156*50/C156</f>
        <v>1.5384615384615385E-2</v>
      </c>
      <c r="J156" s="18">
        <f>C156-(E156*1080)</f>
        <v>36872.431586902312</v>
      </c>
    </row>
    <row r="157" spans="1:16" ht="13.5" thickBot="1">
      <c r="A157" s="89"/>
      <c r="B157" s="82">
        <f>B156+7</f>
        <v>43744</v>
      </c>
      <c r="C157" s="20">
        <f>D156+G156-H156</f>
        <v>57432.635374990699</v>
      </c>
      <c r="D157" s="17">
        <f>C157+(C157*0.04)</f>
        <v>59729.940789990331</v>
      </c>
      <c r="E157" s="17">
        <f>C157/3250</f>
        <v>17.671580115381754</v>
      </c>
      <c r="F157" s="28">
        <f>(D157-C157)/E157</f>
        <v>130.0000000000002</v>
      </c>
      <c r="G157" s="81"/>
      <c r="H157" s="81"/>
      <c r="I157" s="19">
        <f>E157*50/C157</f>
        <v>1.5384615384615385E-2</v>
      </c>
      <c r="J157" s="18">
        <f>C157-(E157*1080)</f>
        <v>38347.328850378406</v>
      </c>
      <c r="K157" s="95"/>
      <c r="L157" s="96"/>
      <c r="M157" s="96"/>
      <c r="N157" s="96"/>
      <c r="O157" s="96"/>
      <c r="P157" s="96"/>
    </row>
    <row r="158" spans="1:16" ht="13.5" thickBot="1">
      <c r="A158" s="79"/>
      <c r="B158" s="13"/>
      <c r="C158" s="22"/>
      <c r="D158" s="23"/>
      <c r="E158" s="23"/>
      <c r="F158" s="27"/>
      <c r="G158" s="23"/>
      <c r="H158" s="10"/>
      <c r="I158" s="24"/>
      <c r="J158" s="25"/>
    </row>
    <row r="159" spans="1:16">
      <c r="A159" s="87">
        <v>32</v>
      </c>
      <c r="B159" s="82">
        <f>B157+7</f>
        <v>43751</v>
      </c>
      <c r="C159" s="20">
        <f>D157+G157-H157</f>
        <v>59729.940789990331</v>
      </c>
      <c r="D159" s="17">
        <f>C159+(C159*0.04)</f>
        <v>62119.138421589945</v>
      </c>
      <c r="E159" s="17">
        <f>C159/3250</f>
        <v>18.378443319997025</v>
      </c>
      <c r="F159" s="28">
        <f>(D159-C159)/E159</f>
        <v>130.00000000000006</v>
      </c>
      <c r="G159" s="18"/>
      <c r="H159" s="18"/>
      <c r="I159" s="19">
        <f>E159*50/C159</f>
        <v>1.5384615384615385E-2</v>
      </c>
      <c r="J159" s="18">
        <f>C159-(E159*1080)</f>
        <v>39881.222004393545</v>
      </c>
    </row>
    <row r="160" spans="1:16">
      <c r="A160" s="88"/>
      <c r="B160" s="82">
        <f>B159+7</f>
        <v>43758</v>
      </c>
      <c r="C160" s="20">
        <f>D159+G159-H159</f>
        <v>62119.138421589945</v>
      </c>
      <c r="D160" s="17">
        <f>C160+(C160*0.04)</f>
        <v>64603.903958453542</v>
      </c>
      <c r="E160" s="17">
        <f>C160/3250</f>
        <v>19.113581052796906</v>
      </c>
      <c r="F160" s="28">
        <f>(D160-C160)/E160</f>
        <v>129.99999999999994</v>
      </c>
      <c r="G160" s="18"/>
      <c r="H160" s="18"/>
      <c r="I160" s="19">
        <f>E160*50/C160</f>
        <v>1.5384615384615384E-2</v>
      </c>
      <c r="J160" s="18">
        <f>C160-(E160*1080)</f>
        <v>41476.470884569288</v>
      </c>
    </row>
    <row r="161" spans="1:16">
      <c r="A161" s="88"/>
      <c r="B161" s="82">
        <f>B160+7</f>
        <v>43765</v>
      </c>
      <c r="C161" s="20">
        <f>D160+G160-H160</f>
        <v>64603.903958453542</v>
      </c>
      <c r="D161" s="17">
        <f>C161+(C161*0.04)</f>
        <v>67188.06011679169</v>
      </c>
      <c r="E161" s="17">
        <f>C161/3250</f>
        <v>19.878124294908783</v>
      </c>
      <c r="F161" s="28">
        <f>(D161-C161)/E161</f>
        <v>130.00000000000031</v>
      </c>
      <c r="G161" s="18"/>
      <c r="H161" s="18"/>
      <c r="I161" s="19">
        <f>E161*50/C161</f>
        <v>1.5384615384615385E-2</v>
      </c>
      <c r="J161" s="18">
        <f>C161-(E161*1080)</f>
        <v>43135.529719952057</v>
      </c>
    </row>
    <row r="162" spans="1:16" ht="13.5" thickBot="1">
      <c r="A162" s="89"/>
      <c r="B162" s="82">
        <f>B161+7</f>
        <v>43772</v>
      </c>
      <c r="C162" s="20">
        <f>D161+G161-H161</f>
        <v>67188.06011679169</v>
      </c>
      <c r="D162" s="17">
        <f>C162+(C162*0.04)</f>
        <v>69875.582521463351</v>
      </c>
      <c r="E162" s="17">
        <f>C162/3250</f>
        <v>20.673249266705135</v>
      </c>
      <c r="F162" s="28">
        <f>(D162-C162)/E162</f>
        <v>129.99999999999969</v>
      </c>
      <c r="G162" s="81"/>
      <c r="H162" s="81"/>
      <c r="I162" s="19">
        <f>E162*50/C162</f>
        <v>1.5384615384615384E-2</v>
      </c>
      <c r="J162" s="18">
        <f>C162-(E162*1080)</f>
        <v>44860.95090875015</v>
      </c>
      <c r="K162" s="95"/>
      <c r="L162" s="96"/>
      <c r="M162" s="96"/>
      <c r="N162" s="96"/>
      <c r="O162" s="96"/>
      <c r="P162" s="96"/>
    </row>
    <row r="163" spans="1:16" ht="13.5" thickBot="1">
      <c r="A163" s="79"/>
      <c r="B163" s="13"/>
      <c r="C163" s="22"/>
      <c r="D163" s="23"/>
      <c r="E163" s="23"/>
      <c r="F163" s="27"/>
      <c r="G163" s="23"/>
      <c r="H163" s="10"/>
      <c r="I163" s="24"/>
      <c r="J163" s="25"/>
    </row>
    <row r="164" spans="1:16">
      <c r="A164" s="87">
        <v>33</v>
      </c>
      <c r="B164" s="82">
        <f>B162+7</f>
        <v>43779</v>
      </c>
      <c r="C164" s="20">
        <f>D162+G162-H162</f>
        <v>69875.582521463351</v>
      </c>
      <c r="D164" s="17">
        <f>C164+(C164*0.04)</f>
        <v>72670.605822321886</v>
      </c>
      <c r="E164" s="17">
        <f>C164/3250</f>
        <v>21.500179237373338</v>
      </c>
      <c r="F164" s="28">
        <f>(D164-C164)/E164</f>
        <v>130.00000000000003</v>
      </c>
      <c r="G164" s="18"/>
      <c r="H164" s="18"/>
      <c r="I164" s="19">
        <f>E164*50/C164</f>
        <v>1.5384615384615382E-2</v>
      </c>
      <c r="J164" s="18">
        <f>C164-(E164*1080)</f>
        <v>46655.388945100145</v>
      </c>
    </row>
    <row r="165" spans="1:16">
      <c r="A165" s="88"/>
      <c r="B165" s="82">
        <f>B164+7</f>
        <v>43786</v>
      </c>
      <c r="C165" s="20">
        <f>D164+G164-H164</f>
        <v>72670.605822321886</v>
      </c>
      <c r="D165" s="17">
        <f>C165+(C165*0.04)</f>
        <v>75577.430055214762</v>
      </c>
      <c r="E165" s="17">
        <f>C165/3250</f>
        <v>22.360186406868273</v>
      </c>
      <c r="F165" s="28">
        <f>(D165-C165)/E165</f>
        <v>130</v>
      </c>
      <c r="G165" s="18"/>
      <c r="H165" s="18"/>
      <c r="I165" s="19">
        <f>E165*50/C165</f>
        <v>1.5384615384615385E-2</v>
      </c>
      <c r="J165" s="18">
        <f>C165-(E165*1080)</f>
        <v>48521.604502904156</v>
      </c>
      <c r="K165" s="31"/>
      <c r="L165" s="31"/>
    </row>
    <row r="166" spans="1:16">
      <c r="A166" s="88"/>
      <c r="B166" s="82">
        <f>B165+7</f>
        <v>43793</v>
      </c>
      <c r="C166" s="20">
        <f>D165+G165-H165</f>
        <v>75577.430055214762</v>
      </c>
      <c r="D166" s="17">
        <f>C166+(C166*0.04)</f>
        <v>78600.527257423353</v>
      </c>
      <c r="E166" s="17">
        <f>C166/3250</f>
        <v>23.254593863143004</v>
      </c>
      <c r="F166" s="28">
        <f>(D166-C166)/E166</f>
        <v>130.00000000000006</v>
      </c>
      <c r="G166" s="18"/>
      <c r="H166" s="18"/>
      <c r="I166" s="19">
        <f>E166*50/C166</f>
        <v>1.5384615384615385E-2</v>
      </c>
      <c r="J166" s="18">
        <f>C166-(E166*1080)</f>
        <v>50462.468683020314</v>
      </c>
      <c r="K166" s="31"/>
      <c r="L166" s="31"/>
    </row>
    <row r="167" spans="1:16" ht="13.5" thickBot="1">
      <c r="A167" s="89"/>
      <c r="B167" s="82">
        <f>B166+7</f>
        <v>43800</v>
      </c>
      <c r="C167" s="20">
        <f>D166+G166-H166</f>
        <v>78600.527257423353</v>
      </c>
      <c r="D167" s="17">
        <f>C167+(C167*0.04)</f>
        <v>81744.548347720294</v>
      </c>
      <c r="E167" s="17">
        <f>C167/3250</f>
        <v>24.184777617668725</v>
      </c>
      <c r="F167" s="28">
        <f>(D167-C167)/E167</f>
        <v>130.00000000000028</v>
      </c>
      <c r="G167" s="81"/>
      <c r="H167" s="81">
        <f>(D167-C154)*0.35</f>
        <v>10740.500620667715</v>
      </c>
      <c r="I167" s="19">
        <f>E167*50/C167</f>
        <v>1.5384615384615384E-2</v>
      </c>
      <c r="J167" s="18">
        <f>C167-(E167*1080)</f>
        <v>52480.96743034113</v>
      </c>
      <c r="K167" s="90" t="s">
        <v>44</v>
      </c>
      <c r="L167" s="91"/>
      <c r="M167" s="91"/>
      <c r="N167" s="91"/>
      <c r="O167" s="91"/>
      <c r="P167" s="91"/>
    </row>
    <row r="168" spans="1:16" ht="13.5" thickBot="1">
      <c r="A168" s="79"/>
      <c r="B168" s="13"/>
      <c r="C168" s="22"/>
      <c r="D168" s="23"/>
      <c r="E168" s="23"/>
      <c r="F168" s="27"/>
      <c r="G168" s="23"/>
      <c r="H168" s="10"/>
      <c r="I168" s="24"/>
      <c r="J168" s="25"/>
    </row>
    <row r="169" spans="1:16">
      <c r="A169" s="87">
        <v>34</v>
      </c>
      <c r="B169" s="82">
        <f>B167+7</f>
        <v>43807</v>
      </c>
      <c r="C169" s="20">
        <f>D167+G167-H167</f>
        <v>71004.047727052573</v>
      </c>
      <c r="D169" s="17">
        <f>C169+(C169*0.04)</f>
        <v>73844.209636134678</v>
      </c>
      <c r="E169" s="17">
        <f>C169/3250</f>
        <v>21.847399300631562</v>
      </c>
      <c r="F169" s="28">
        <f>(D169-C169)/E169</f>
        <v>130.00000000000006</v>
      </c>
      <c r="G169" s="18"/>
      <c r="H169" s="18"/>
      <c r="I169" s="19">
        <f>E169*50/C169</f>
        <v>1.5384615384615384E-2</v>
      </c>
      <c r="J169" s="18">
        <f>C169-(E169*1080)</f>
        <v>47408.856482370487</v>
      </c>
    </row>
    <row r="170" spans="1:16">
      <c r="A170" s="88"/>
      <c r="B170" s="82">
        <f>B169+7</f>
        <v>43814</v>
      </c>
      <c r="C170" s="20">
        <f>D169+G169-H169</f>
        <v>73844.209636134678</v>
      </c>
      <c r="D170" s="17">
        <f>C170+(C170*0.04)</f>
        <v>76797.978021580071</v>
      </c>
      <c r="E170" s="17">
        <f>C170/3250</f>
        <v>22.721295272656825</v>
      </c>
      <c r="F170" s="28">
        <f>(D170-C170)/E170</f>
        <v>130.00000000000028</v>
      </c>
      <c r="G170" s="18"/>
      <c r="H170" s="18"/>
      <c r="I170" s="19">
        <f>E170*50/C170</f>
        <v>1.5384615384615385E-2</v>
      </c>
      <c r="J170" s="18">
        <f>C170-(E170*1080)</f>
        <v>49305.210741665302</v>
      </c>
    </row>
    <row r="171" spans="1:16">
      <c r="A171" s="88"/>
      <c r="B171" s="82">
        <f>B170+7</f>
        <v>43821</v>
      </c>
      <c r="C171" s="20">
        <f>D170+G170-H170</f>
        <v>76797.978021580071</v>
      </c>
      <c r="D171" s="17">
        <f>C171+(C171*0.04)</f>
        <v>79869.897142443268</v>
      </c>
      <c r="E171" s="17">
        <f>C171/3250</f>
        <v>23.630147083563099</v>
      </c>
      <c r="F171" s="28">
        <f>(D171-C171)/E171</f>
        <v>129.99999999999972</v>
      </c>
      <c r="G171" s="18"/>
      <c r="H171" s="18"/>
      <c r="I171" s="19">
        <f>E171*50/C171</f>
        <v>1.5384615384615384E-2</v>
      </c>
      <c r="J171" s="18">
        <f>C171-(E171*1080)</f>
        <v>51277.419171331923</v>
      </c>
    </row>
    <row r="172" spans="1:16" ht="13.5" thickBot="1">
      <c r="A172" s="89"/>
      <c r="B172" s="82">
        <f>B171+7</f>
        <v>43828</v>
      </c>
      <c r="C172" s="20">
        <f>D171+G171-H171</f>
        <v>79869.897142443268</v>
      </c>
      <c r="D172" s="17">
        <f>C172+(C172*0.04)</f>
        <v>83064.693028141002</v>
      </c>
      <c r="E172" s="17">
        <f>C172/3250</f>
        <v>24.575352966905619</v>
      </c>
      <c r="F172" s="28">
        <f>(D172-C172)/E172</f>
        <v>130.00000000000017</v>
      </c>
      <c r="G172" s="81"/>
      <c r="H172" s="81"/>
      <c r="I172" s="19">
        <f>E172*50/C172</f>
        <v>1.5384615384615384E-2</v>
      </c>
      <c r="J172" s="18">
        <f>C172-(E172*1080)</f>
        <v>53328.515938185199</v>
      </c>
      <c r="K172" s="95"/>
      <c r="L172" s="96"/>
      <c r="M172" s="96"/>
      <c r="N172" s="96"/>
      <c r="O172" s="96"/>
      <c r="P172" s="96"/>
    </row>
    <row r="173" spans="1:16" ht="13.5" thickBot="1">
      <c r="A173" s="79"/>
      <c r="B173" s="13"/>
      <c r="C173" s="22"/>
      <c r="D173" s="23"/>
      <c r="E173" s="23"/>
      <c r="F173" s="27"/>
      <c r="G173" s="23"/>
      <c r="H173" s="10"/>
      <c r="I173" s="24"/>
      <c r="J173" s="25"/>
    </row>
    <row r="174" spans="1:16">
      <c r="A174" s="87">
        <v>35</v>
      </c>
      <c r="B174" s="82">
        <f>B172+7</f>
        <v>43835</v>
      </c>
      <c r="C174" s="20">
        <f>D172+G172-H172</f>
        <v>83064.693028141002</v>
      </c>
      <c r="D174" s="17">
        <f>C174+(C174*0.04)</f>
        <v>86387.280749266647</v>
      </c>
      <c r="E174" s="17">
        <f>C174/3250</f>
        <v>25.558367085581846</v>
      </c>
      <c r="F174" s="28">
        <f>(D174-C174)/E174</f>
        <v>130.0000000000002</v>
      </c>
      <c r="G174" s="18"/>
      <c r="H174" s="18"/>
      <c r="I174" s="19">
        <f>E174*50/C174</f>
        <v>1.5384615384615384E-2</v>
      </c>
      <c r="J174" s="18">
        <f>C174-(E174*1080)</f>
        <v>55461.656575712608</v>
      </c>
    </row>
    <row r="175" spans="1:16">
      <c r="A175" s="88"/>
      <c r="B175" s="82">
        <f>B174+7</f>
        <v>43842</v>
      </c>
      <c r="C175" s="20">
        <f>D174+G174-H174</f>
        <v>86387.280749266647</v>
      </c>
      <c r="D175" s="17">
        <f>C175+(C175*0.04)</f>
        <v>89842.77197923731</v>
      </c>
      <c r="E175" s="17">
        <f>C175/3250</f>
        <v>26.580701769005124</v>
      </c>
      <c r="F175" s="28">
        <f>(D175-C175)/E175</f>
        <v>129.99999999999989</v>
      </c>
      <c r="G175" s="18"/>
      <c r="H175" s="18"/>
      <c r="I175" s="19">
        <f>E175*50/C175</f>
        <v>1.5384615384615385E-2</v>
      </c>
      <c r="J175" s="18">
        <f>C175-(E175*1080)</f>
        <v>57680.12283874111</v>
      </c>
    </row>
    <row r="176" spans="1:16">
      <c r="A176" s="88"/>
      <c r="B176" s="82">
        <f>B175+7</f>
        <v>43849</v>
      </c>
      <c r="C176" s="20">
        <f>D175+G175-H175</f>
        <v>89842.77197923731</v>
      </c>
      <c r="D176" s="17">
        <f>C176+(C176*0.04)</f>
        <v>93436.482858406802</v>
      </c>
      <c r="E176" s="17">
        <f>C176/3250</f>
        <v>27.643929839765327</v>
      </c>
      <c r="F176" s="28">
        <f>(D176-C176)/E176</f>
        <v>129.99999999999997</v>
      </c>
      <c r="G176" s="18"/>
      <c r="H176" s="18"/>
      <c r="I176" s="19">
        <f>E176*50/C176</f>
        <v>1.5384615384615385E-2</v>
      </c>
      <c r="J176" s="18">
        <f>C176-(E176*1080)</f>
        <v>59987.327752290759</v>
      </c>
    </row>
    <row r="177" spans="1:16" ht="13.5" thickBot="1">
      <c r="A177" s="89"/>
      <c r="B177" s="82">
        <f>B176+7</f>
        <v>43856</v>
      </c>
      <c r="C177" s="20">
        <f>D176+G176-H176</f>
        <v>93436.482858406802</v>
      </c>
      <c r="D177" s="17">
        <f>C177+(C177*0.04)</f>
        <v>97173.942172743074</v>
      </c>
      <c r="E177" s="17">
        <f>C177/3250</f>
        <v>28.74968703335594</v>
      </c>
      <c r="F177" s="28">
        <f>(D177-C177)/E177</f>
        <v>130.00000000000003</v>
      </c>
      <c r="G177" s="81"/>
      <c r="H177" s="81">
        <f>(D177-C169)*0.35</f>
        <v>9159.463055991675</v>
      </c>
      <c r="I177" s="19">
        <f>E177*50/C177</f>
        <v>1.5384615384615385E-2</v>
      </c>
      <c r="J177" s="18">
        <f>C177-(E177*1080)</f>
        <v>62386.820862382388</v>
      </c>
      <c r="K177" s="90" t="s">
        <v>44</v>
      </c>
      <c r="L177" s="91"/>
      <c r="M177" s="91"/>
      <c r="N177" s="91"/>
      <c r="O177" s="91"/>
      <c r="P177" s="91"/>
    </row>
    <row r="178" spans="1:16" ht="13.5" thickBot="1">
      <c r="A178" s="79"/>
      <c r="B178" s="13"/>
      <c r="C178" s="22"/>
      <c r="D178" s="23"/>
      <c r="E178" s="23"/>
      <c r="F178" s="27"/>
      <c r="G178" s="23"/>
      <c r="H178" s="10"/>
      <c r="I178" s="24"/>
      <c r="J178" s="25"/>
    </row>
  </sheetData>
  <mergeCells count="71">
    <mergeCell ref="B1:J1"/>
    <mergeCell ref="A4:A7"/>
    <mergeCell ref="K7:P7"/>
    <mergeCell ref="A9:A12"/>
    <mergeCell ref="K12:P12"/>
    <mergeCell ref="A14:A17"/>
    <mergeCell ref="K17:P17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O228"/>
  <sheetViews>
    <sheetView topLeftCell="A94" zoomScaleNormal="100" workbookViewId="0">
      <selection activeCell="B104" sqref="B104"/>
    </sheetView>
  </sheetViews>
  <sheetFormatPr defaultColWidth="9.140625" defaultRowHeight="12.75"/>
  <cols>
    <col min="2" max="2" width="9.5703125" customWidth="1"/>
    <col min="3" max="3" width="10.5703125" bestFit="1" customWidth="1"/>
    <col min="4" max="4" width="6.5703125" bestFit="1" customWidth="1"/>
    <col min="5" max="5" width="6" bestFit="1" customWidth="1"/>
    <col min="6" max="6" width="8.7109375" bestFit="1" customWidth="1"/>
    <col min="7" max="7" width="12" bestFit="1" customWidth="1"/>
    <col min="8" max="8" width="9" bestFit="1" customWidth="1"/>
    <col min="9" max="9" width="11" customWidth="1"/>
    <col min="10" max="10" width="7.42578125" bestFit="1" customWidth="1"/>
    <col min="11" max="11" width="5.140625" bestFit="1" customWidth="1"/>
    <col min="12" max="12" width="7.42578125" bestFit="1" customWidth="1"/>
    <col min="13" max="13" width="11" customWidth="1"/>
    <col min="14" max="14" width="39.85546875" bestFit="1" customWidth="1"/>
    <col min="15" max="15" width="20.28515625" bestFit="1" customWidth="1"/>
  </cols>
  <sheetData>
    <row r="1" spans="1:14" ht="16.5" thickBot="1">
      <c r="A1" s="97" t="s">
        <v>27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9"/>
    </row>
    <row r="2" spans="1:14" ht="18.75" customHeight="1" thickBot="1">
      <c r="A2" s="3" t="s">
        <v>3</v>
      </c>
      <c r="B2" s="4" t="s">
        <v>4</v>
      </c>
      <c r="C2" s="5" t="s">
        <v>5</v>
      </c>
      <c r="D2" s="5" t="s">
        <v>13</v>
      </c>
      <c r="E2" s="5" t="s">
        <v>14</v>
      </c>
      <c r="F2" s="5" t="s">
        <v>6</v>
      </c>
      <c r="G2" s="5" t="s">
        <v>6</v>
      </c>
      <c r="H2" s="14" t="s">
        <v>15</v>
      </c>
      <c r="I2" s="14" t="s">
        <v>16</v>
      </c>
      <c r="J2" s="40" t="s">
        <v>24</v>
      </c>
      <c r="K2" s="40" t="s">
        <v>24</v>
      </c>
      <c r="L2" s="42" t="s">
        <v>2</v>
      </c>
      <c r="M2" s="6" t="s">
        <v>7</v>
      </c>
    </row>
    <row r="3" spans="1:14" ht="13.5" thickBot="1">
      <c r="A3" s="3" t="s">
        <v>8</v>
      </c>
      <c r="B3" s="7" t="s">
        <v>9</v>
      </c>
      <c r="C3" s="8" t="s">
        <v>9</v>
      </c>
      <c r="D3" s="8" t="s">
        <v>17</v>
      </c>
      <c r="E3" s="8" t="s">
        <v>18</v>
      </c>
      <c r="F3" s="8" t="s">
        <v>10</v>
      </c>
      <c r="G3" s="8" t="s">
        <v>11</v>
      </c>
      <c r="H3" s="14" t="s">
        <v>19</v>
      </c>
      <c r="I3" s="14" t="s">
        <v>20</v>
      </c>
      <c r="J3" s="14" t="s">
        <v>25</v>
      </c>
      <c r="K3" s="14" t="s">
        <v>26</v>
      </c>
      <c r="L3" s="6" t="s">
        <v>28</v>
      </c>
      <c r="M3" s="6" t="s">
        <v>12</v>
      </c>
    </row>
    <row r="4" spans="1:14">
      <c r="A4" s="15">
        <v>42386</v>
      </c>
      <c r="B4" s="16">
        <v>300</v>
      </c>
      <c r="C4" s="17">
        <f>B4+(B4*0.55)</f>
        <v>465</v>
      </c>
      <c r="D4" s="17">
        <f>B4/2000</f>
        <v>0.15</v>
      </c>
      <c r="E4" s="34">
        <f>(C4-B4)/D4</f>
        <v>1100</v>
      </c>
      <c r="F4" s="18"/>
      <c r="G4" s="18"/>
      <c r="H4" s="19">
        <f>D4*50/B4</f>
        <v>2.5000000000000001E-2</v>
      </c>
      <c r="I4" s="18">
        <f>B4-(D4*1080)</f>
        <v>138</v>
      </c>
      <c r="J4" s="43"/>
      <c r="K4" s="18"/>
      <c r="L4" s="43"/>
      <c r="M4" s="9"/>
    </row>
    <row r="5" spans="1:14">
      <c r="A5" s="15">
        <f>A4+7</f>
        <v>42393</v>
      </c>
      <c r="B5" s="20">
        <f>C4+F4-G4</f>
        <v>465</v>
      </c>
      <c r="C5" s="17">
        <f>B5+(B5*0.51)</f>
        <v>702.15</v>
      </c>
      <c r="D5" s="17">
        <f>B5/2000</f>
        <v>0.23250000000000001</v>
      </c>
      <c r="E5" s="34">
        <f>(C5-B5)/D5</f>
        <v>1019.9999999999999</v>
      </c>
      <c r="F5" s="18">
        <v>200</v>
      </c>
      <c r="G5" s="18"/>
      <c r="H5" s="19">
        <f>D5*50/B5</f>
        <v>2.5000000000000001E-2</v>
      </c>
      <c r="I5" s="18">
        <f>B5-(D5*1080)</f>
        <v>213.89999999999998</v>
      </c>
      <c r="J5" s="43"/>
      <c r="K5" s="18"/>
      <c r="L5" s="43"/>
      <c r="M5" s="9"/>
    </row>
    <row r="6" spans="1:14">
      <c r="A6" s="15">
        <f>A5+7</f>
        <v>42400</v>
      </c>
      <c r="B6" s="20">
        <f>C5+F5-G5</f>
        <v>902.15</v>
      </c>
      <c r="C6" s="17">
        <f>B6+(B6*0.325)</f>
        <v>1195.3487500000001</v>
      </c>
      <c r="D6" s="17">
        <f>B6/2000</f>
        <v>0.451075</v>
      </c>
      <c r="E6" s="34">
        <f>(C6-B6)/D6</f>
        <v>650.00000000000034</v>
      </c>
      <c r="F6" s="18"/>
      <c r="G6" s="18"/>
      <c r="H6" s="19">
        <f>D6*50/B6</f>
        <v>2.5000000000000001E-2</v>
      </c>
      <c r="I6" s="18">
        <f>B6-(D6*1080)</f>
        <v>414.98899999999998</v>
      </c>
      <c r="J6" s="43"/>
      <c r="K6" s="18"/>
      <c r="L6" s="43"/>
      <c r="M6" s="9"/>
    </row>
    <row r="7" spans="1:14" ht="13.5" thickBot="1">
      <c r="A7" s="15">
        <f>A6+7</f>
        <v>42407</v>
      </c>
      <c r="B7" s="20">
        <f>C6+F6-G6</f>
        <v>1195.3487500000001</v>
      </c>
      <c r="C7" s="17">
        <f>B7+(B7*0.25)</f>
        <v>1494.1859375000001</v>
      </c>
      <c r="D7" s="17">
        <f>B7/2000</f>
        <v>0.59767437500000009</v>
      </c>
      <c r="E7" s="34">
        <f>(C7-B7)/D7</f>
        <v>499.99999999999994</v>
      </c>
      <c r="F7" s="18"/>
      <c r="G7" s="21"/>
      <c r="H7" s="19">
        <f>D7*50/B7</f>
        <v>2.5000000000000001E-2</v>
      </c>
      <c r="I7" s="18">
        <f>B7-(D7*1080)</f>
        <v>549.86042499999996</v>
      </c>
      <c r="J7" s="43"/>
      <c r="K7" s="18"/>
      <c r="L7" s="43"/>
      <c r="M7" s="9"/>
    </row>
    <row r="8" spans="1:14" ht="13.5" thickBot="1">
      <c r="A8" s="13"/>
      <c r="B8" s="22"/>
      <c r="C8" s="23"/>
      <c r="D8" s="23"/>
      <c r="E8" s="44">
        <v>3270</v>
      </c>
      <c r="F8" s="23"/>
      <c r="G8" s="10"/>
      <c r="H8" s="24"/>
      <c r="I8" s="25"/>
      <c r="J8" s="45"/>
      <c r="K8" s="25"/>
      <c r="L8" s="45"/>
      <c r="M8" s="11"/>
    </row>
    <row r="9" spans="1:14" ht="15">
      <c r="A9" s="46">
        <f>A7+7</f>
        <v>42414</v>
      </c>
      <c r="B9" s="47">
        <f>C7-G7</f>
        <v>1494.1859375000001</v>
      </c>
      <c r="C9" s="48">
        <f>B9+(B9*-0.3)</f>
        <v>1045.93015625</v>
      </c>
      <c r="D9" s="48">
        <f>B9/2000</f>
        <v>0.74709296875000009</v>
      </c>
      <c r="E9" s="37">
        <f>(C9-B9)/D9</f>
        <v>-600.00000000000011</v>
      </c>
      <c r="F9" s="18"/>
      <c r="G9" s="18"/>
      <c r="H9" s="49">
        <f>D9*50/B9</f>
        <v>2.5000000000000001E-2</v>
      </c>
      <c r="I9" s="50">
        <f>B9-(D9*1080)</f>
        <v>687.32553125000004</v>
      </c>
      <c r="J9" s="51"/>
      <c r="K9" s="52"/>
      <c r="L9" s="51"/>
      <c r="M9" s="53"/>
      <c r="N9" s="12" t="s">
        <v>1</v>
      </c>
    </row>
    <row r="10" spans="1:14" ht="15">
      <c r="A10" s="46">
        <f>A9+7</f>
        <v>42421</v>
      </c>
      <c r="B10" s="47">
        <f>C9+F9-G9</f>
        <v>1045.93015625</v>
      </c>
      <c r="C10" s="48">
        <f>B10+(B10*-0.3)</f>
        <v>732.15110937500003</v>
      </c>
      <c r="D10" s="48">
        <f>B10/2000</f>
        <v>0.52296507812500004</v>
      </c>
      <c r="E10" s="37">
        <f>(C10-B10)/D10</f>
        <v>-599.99999999999989</v>
      </c>
      <c r="F10" s="18"/>
      <c r="G10" s="18"/>
      <c r="H10" s="49">
        <f>D10*50/B10</f>
        <v>2.5000000000000001E-2</v>
      </c>
      <c r="I10" s="50">
        <f>B10-(D10*1080)</f>
        <v>481.12787187499998</v>
      </c>
      <c r="J10" s="51"/>
      <c r="K10" s="52"/>
      <c r="L10" s="51"/>
      <c r="M10" s="53"/>
      <c r="N10" s="12" t="s">
        <v>1</v>
      </c>
    </row>
    <row r="11" spans="1:14" ht="15">
      <c r="A11" s="46">
        <f>A10+7</f>
        <v>42428</v>
      </c>
      <c r="B11" s="47">
        <f>C10+F10-G10</f>
        <v>732.15110937500003</v>
      </c>
      <c r="C11" s="48">
        <f>B11+(B11*-0.14)</f>
        <v>629.6499540625</v>
      </c>
      <c r="D11" s="48">
        <f>B11/2000</f>
        <v>0.36607555468750003</v>
      </c>
      <c r="E11" s="37">
        <f>(C11-B11)/D11</f>
        <v>-280.00000000000006</v>
      </c>
      <c r="F11" s="18">
        <v>470</v>
      </c>
      <c r="G11" s="18"/>
      <c r="H11" s="49">
        <f>D11*50/B11</f>
        <v>2.4999999999999998E-2</v>
      </c>
      <c r="I11" s="50">
        <f>B11-(D11*1080)</f>
        <v>336.7895103125</v>
      </c>
      <c r="J11" s="51"/>
      <c r="K11" s="52"/>
      <c r="L11" s="51"/>
      <c r="M11" s="53"/>
      <c r="N11" s="12" t="s">
        <v>1</v>
      </c>
    </row>
    <row r="12" spans="1:14" ht="13.5" thickBot="1">
      <c r="A12" s="15">
        <f>A11+7</f>
        <v>42435</v>
      </c>
      <c r="B12" s="20">
        <f>C11+F11-G11</f>
        <v>1099.6499540625</v>
      </c>
      <c r="C12" s="17">
        <f>B12+(B12*0.7)</f>
        <v>1869.4049219062499</v>
      </c>
      <c r="D12" s="17">
        <f>B12/2000</f>
        <v>0.54982497703125</v>
      </c>
      <c r="E12" s="34">
        <f>(C12-B12)/D12</f>
        <v>1399.9999999999998</v>
      </c>
      <c r="F12" s="18"/>
      <c r="G12" s="18"/>
      <c r="H12" s="19">
        <f>D12*50/B12</f>
        <v>2.4999999999999998E-2</v>
      </c>
      <c r="I12" s="18">
        <f>B12-(D12*1080)</f>
        <v>505.83897886875002</v>
      </c>
      <c r="J12" s="43"/>
      <c r="K12" s="18"/>
      <c r="L12" s="43"/>
      <c r="M12" s="9"/>
    </row>
    <row r="13" spans="1:14" ht="13.5" thickBot="1">
      <c r="A13" s="13"/>
      <c r="B13" s="22"/>
      <c r="C13" s="23"/>
      <c r="D13" s="23"/>
      <c r="E13" s="44">
        <v>-80</v>
      </c>
      <c r="F13" s="23"/>
      <c r="G13" s="10"/>
      <c r="H13" s="24"/>
      <c r="I13" s="25"/>
      <c r="J13" s="45"/>
      <c r="K13" s="25"/>
      <c r="L13" s="45"/>
      <c r="M13" s="11"/>
    </row>
    <row r="14" spans="1:14">
      <c r="A14" s="15">
        <f>A12+7</f>
        <v>42442</v>
      </c>
      <c r="B14" s="20">
        <f>C12+F12-G12</f>
        <v>1869.4049219062499</v>
      </c>
      <c r="C14" s="17">
        <f>B14+(B14*-0.015)</f>
        <v>1841.3638480776563</v>
      </c>
      <c r="D14" s="17">
        <f>B14/2000</f>
        <v>0.93470246095312493</v>
      </c>
      <c r="E14" s="28">
        <f>(C14-B14)/D14</f>
        <v>-29.999999999999901</v>
      </c>
      <c r="F14" s="18"/>
      <c r="G14" s="18"/>
      <c r="H14" s="19">
        <f>D14*50/B14</f>
        <v>2.4999999999999998E-2</v>
      </c>
      <c r="I14" s="18">
        <f>B14-(D14*1080)</f>
        <v>859.92626407687499</v>
      </c>
      <c r="J14" s="43"/>
      <c r="K14" s="18"/>
      <c r="L14" s="43"/>
      <c r="M14" s="9"/>
    </row>
    <row r="15" spans="1:14">
      <c r="A15" s="54">
        <f>A14+7</f>
        <v>42449</v>
      </c>
      <c r="B15" s="55">
        <f>C14+F14-G14</f>
        <v>1841.3638480776563</v>
      </c>
      <c r="C15" s="56">
        <f>B15+(B15*0.05)</f>
        <v>1933.4320404815392</v>
      </c>
      <c r="D15" s="56">
        <f>B15/2000</f>
        <v>0.92068192403882809</v>
      </c>
      <c r="E15" s="34">
        <f>(C15-B15)/D15</f>
        <v>100.0000000000001</v>
      </c>
      <c r="F15" s="18"/>
      <c r="G15" s="18"/>
      <c r="H15" s="57">
        <f>D15*50/B15</f>
        <v>2.4999999999999998E-2</v>
      </c>
      <c r="I15" s="58">
        <f>B15-(D15*1080)</f>
        <v>847.02737011572196</v>
      </c>
      <c r="J15" s="43"/>
      <c r="K15" s="18"/>
      <c r="L15" s="43"/>
      <c r="M15" s="9"/>
      <c r="N15" s="59" t="s">
        <v>29</v>
      </c>
    </row>
    <row r="16" spans="1:14">
      <c r="A16" s="54">
        <f>A15+7</f>
        <v>42456</v>
      </c>
      <c r="B16" s="55">
        <f>C15+F15-G15</f>
        <v>1933.4320404815392</v>
      </c>
      <c r="C16" s="56">
        <f>B16+(B16*0.459)</f>
        <v>2820.8773470625656</v>
      </c>
      <c r="D16" s="56">
        <f>B16/2000</f>
        <v>0.96671602024076964</v>
      </c>
      <c r="E16" s="34">
        <f>(C16-B16)/D16</f>
        <v>917.99999999999989</v>
      </c>
      <c r="F16" s="18"/>
      <c r="G16" s="18"/>
      <c r="H16" s="57">
        <f>D16*50/B16</f>
        <v>2.5000000000000001E-2</v>
      </c>
      <c r="I16" s="58">
        <f>B16-(D16*1080)</f>
        <v>889.37873862150786</v>
      </c>
      <c r="J16" s="43"/>
      <c r="K16" s="18"/>
      <c r="L16" s="43"/>
      <c r="M16" s="9"/>
      <c r="N16" s="59" t="s">
        <v>29</v>
      </c>
    </row>
    <row r="17" spans="1:15" ht="13.5" thickBot="1">
      <c r="A17" s="54">
        <f>A16+7</f>
        <v>42463</v>
      </c>
      <c r="B17" s="55">
        <f>C16+F16-G16</f>
        <v>2820.8773470625656</v>
      </c>
      <c r="C17" s="56">
        <f>B17+(B17*0.3)</f>
        <v>3667.1405511813355</v>
      </c>
      <c r="D17" s="56">
        <f>B17/2000</f>
        <v>1.4104386735312828</v>
      </c>
      <c r="E17" s="34">
        <f>(C17-B17)/D17</f>
        <v>600.00000000000011</v>
      </c>
      <c r="F17" s="26"/>
      <c r="G17" s="18"/>
      <c r="H17" s="57">
        <f>D17*50/B17</f>
        <v>2.5000000000000001E-2</v>
      </c>
      <c r="I17" s="58">
        <f>B17-(D17*1080)</f>
        <v>1297.6035796487802</v>
      </c>
      <c r="J17" s="43"/>
      <c r="K17" s="18"/>
      <c r="L17" s="43"/>
      <c r="M17" s="9"/>
      <c r="N17" s="59" t="s">
        <v>29</v>
      </c>
    </row>
    <row r="18" spans="1:15" ht="13.5" thickBot="1">
      <c r="A18" s="13"/>
      <c r="B18" s="22"/>
      <c r="C18" s="23"/>
      <c r="D18" s="23"/>
      <c r="E18" s="44">
        <v>1588</v>
      </c>
      <c r="F18" s="23"/>
      <c r="G18" s="10"/>
      <c r="H18" s="24"/>
      <c r="I18" s="25"/>
      <c r="J18" s="45"/>
      <c r="K18" s="25"/>
      <c r="L18" s="45"/>
      <c r="M18" s="11"/>
      <c r="N18" s="1"/>
    </row>
    <row r="19" spans="1:15" ht="15">
      <c r="A19" s="54">
        <f>A17+7</f>
        <v>42470</v>
      </c>
      <c r="B19" s="55">
        <f>C17+F17-G17</f>
        <v>3667.1405511813355</v>
      </c>
      <c r="C19" s="56">
        <f>B19+(B19*0.474)</f>
        <v>5405.3651724412885</v>
      </c>
      <c r="D19" s="56">
        <f>B19/2000</f>
        <v>1.8335702755906678</v>
      </c>
      <c r="E19" s="34">
        <f>(C19-B19)/D19</f>
        <v>948</v>
      </c>
      <c r="F19" s="18"/>
      <c r="G19" s="18"/>
      <c r="H19" s="57">
        <f>D19*50/B19</f>
        <v>2.5000000000000001E-2</v>
      </c>
      <c r="I19" s="58">
        <f>B19-(D19*1080)</f>
        <v>1686.8846535434143</v>
      </c>
      <c r="J19" s="43"/>
      <c r="K19" s="18"/>
      <c r="L19" s="43"/>
      <c r="M19" s="9"/>
      <c r="N19" s="59" t="s">
        <v>29</v>
      </c>
      <c r="O19" s="29" t="s">
        <v>21</v>
      </c>
    </row>
    <row r="20" spans="1:15">
      <c r="A20" s="54">
        <f>A19+7</f>
        <v>42477</v>
      </c>
      <c r="B20" s="55">
        <f>C19+F19-G19</f>
        <v>5405.3651724412885</v>
      </c>
      <c r="C20" s="56">
        <f>B20+(B20*0.07)</f>
        <v>5783.7407345121783</v>
      </c>
      <c r="D20" s="56">
        <f>B20/4000</f>
        <v>1.3513412931103221</v>
      </c>
      <c r="E20" s="34">
        <f>(C20-B20)/D20</f>
        <v>279.99999999999972</v>
      </c>
      <c r="F20" s="26"/>
      <c r="G20" s="18"/>
      <c r="H20" s="57">
        <f>D20*50/B20</f>
        <v>1.2500000000000001E-2</v>
      </c>
      <c r="I20" s="58">
        <f>B20-(D20*1080)</f>
        <v>3945.9165758821405</v>
      </c>
      <c r="J20" s="43"/>
      <c r="K20" s="18"/>
      <c r="L20" s="43"/>
      <c r="M20" s="9"/>
      <c r="N20" s="59" t="s">
        <v>29</v>
      </c>
    </row>
    <row r="21" spans="1:15">
      <c r="A21" s="54">
        <f>A20+7</f>
        <v>42484</v>
      </c>
      <c r="B21" s="55">
        <f>C20+F20-G20</f>
        <v>5783.7407345121783</v>
      </c>
      <c r="C21" s="56">
        <f>B21+(B21*-0.184)</f>
        <v>4719.5324393619376</v>
      </c>
      <c r="D21" s="56">
        <f>B21/4000</f>
        <v>1.4459351836280445</v>
      </c>
      <c r="E21" s="34">
        <f>(C21-B21)/D21</f>
        <v>-736</v>
      </c>
      <c r="F21" s="18"/>
      <c r="G21" s="18"/>
      <c r="H21" s="57">
        <f>D21*50/B21</f>
        <v>1.2499999999999999E-2</v>
      </c>
      <c r="I21" s="58">
        <f>B21-(D21*1080)</f>
        <v>4222.1307361938907</v>
      </c>
      <c r="J21" s="60">
        <v>0.1</v>
      </c>
      <c r="K21" s="61" t="s">
        <v>0</v>
      </c>
      <c r="L21" s="62">
        <v>-0.18</v>
      </c>
      <c r="M21" s="53"/>
      <c r="N21" s="59" t="s">
        <v>29</v>
      </c>
    </row>
    <row r="22" spans="1:15" ht="13.5" thickBot="1">
      <c r="A22" s="15">
        <f>A21+7</f>
        <v>42491</v>
      </c>
      <c r="B22" s="20">
        <f>C21+F21-G21</f>
        <v>4719.5324393619376</v>
      </c>
      <c r="C22" s="17">
        <f>B22+(B22*0.179)</f>
        <v>5564.3287460077245</v>
      </c>
      <c r="D22" s="17">
        <f>B22/4500</f>
        <v>1.0487849865248751</v>
      </c>
      <c r="E22" s="34">
        <f>(C22-B22)/D22</f>
        <v>805.5</v>
      </c>
      <c r="F22" s="26"/>
      <c r="G22" s="18"/>
      <c r="H22" s="19">
        <f>D22*50/B22</f>
        <v>1.1111111111111112E-2</v>
      </c>
      <c r="I22" s="18">
        <f>B22-(D22*1080)</f>
        <v>3586.8446539150727</v>
      </c>
      <c r="J22" s="60">
        <v>0.17</v>
      </c>
      <c r="K22" s="61" t="s">
        <v>36</v>
      </c>
      <c r="L22" s="60">
        <v>0.17</v>
      </c>
      <c r="M22" s="9"/>
      <c r="O22" s="2"/>
    </row>
    <row r="23" spans="1:15" ht="13.5" thickBot="1">
      <c r="A23" s="13"/>
      <c r="B23" s="22"/>
      <c r="C23" s="23"/>
      <c r="D23" s="23"/>
      <c r="E23" s="44">
        <v>1298</v>
      </c>
      <c r="F23" s="23"/>
      <c r="G23" s="10"/>
      <c r="H23" s="24"/>
      <c r="I23" s="25"/>
      <c r="J23" s="45"/>
      <c r="K23" s="25"/>
      <c r="L23" s="45"/>
      <c r="M23" s="11"/>
    </row>
    <row r="24" spans="1:15">
      <c r="A24" s="15">
        <f>A22+7</f>
        <v>42498</v>
      </c>
      <c r="B24" s="20">
        <f>C22+F22-G22</f>
        <v>5564.3287460077245</v>
      </c>
      <c r="C24" s="17">
        <f>B24+(B24*-0.12975)</f>
        <v>4842.3570912132218</v>
      </c>
      <c r="D24" s="17">
        <f>B24/4500</f>
        <v>1.2365174991128276</v>
      </c>
      <c r="E24" s="37">
        <f>(C24-B24)/D24</f>
        <v>-583.87500000000034</v>
      </c>
      <c r="F24" s="18"/>
      <c r="G24" s="18"/>
      <c r="H24" s="19">
        <f>D24*50/B24</f>
        <v>1.1111111111111112E-2</v>
      </c>
      <c r="I24" s="18">
        <f>B24-(D24*1080)</f>
        <v>4228.8898469658707</v>
      </c>
      <c r="J24" s="62">
        <v>-0.12</v>
      </c>
      <c r="K24" s="50" t="s">
        <v>31</v>
      </c>
      <c r="L24" s="62">
        <v>-0.12</v>
      </c>
      <c r="M24" s="9"/>
    </row>
    <row r="25" spans="1:15">
      <c r="A25" s="15">
        <f>A24+7</f>
        <v>42505</v>
      </c>
      <c r="B25" s="20">
        <f>C24+F24-G24</f>
        <v>4842.3570912132218</v>
      </c>
      <c r="C25" s="17">
        <f>B25+(B25*0.014)</f>
        <v>4910.1500904902068</v>
      </c>
      <c r="D25" s="17">
        <f>B25/4500</f>
        <v>1.0760793536029383</v>
      </c>
      <c r="E25" s="34">
        <f>(C25-B25)/D25</f>
        <v>62.999999999999922</v>
      </c>
      <c r="F25" s="18"/>
      <c r="G25" s="21">
        <v>1500</v>
      </c>
      <c r="H25" s="19">
        <f>D25*50/B25</f>
        <v>1.1111111111111112E-2</v>
      </c>
      <c r="I25" s="18">
        <f>B25-(D25*1080)</f>
        <v>3680.1913893220485</v>
      </c>
      <c r="J25" s="60">
        <v>0.1</v>
      </c>
      <c r="K25" s="61" t="s">
        <v>32</v>
      </c>
      <c r="L25" s="60">
        <v>0.01</v>
      </c>
      <c r="M25" s="9"/>
    </row>
    <row r="26" spans="1:15">
      <c r="A26" s="54">
        <f>A25+7</f>
        <v>42512</v>
      </c>
      <c r="B26" s="55">
        <f>C25+F25-G25</f>
        <v>3410.1500904902068</v>
      </c>
      <c r="C26" s="56">
        <f>B26+(B26*0.017)</f>
        <v>3468.1226420285402</v>
      </c>
      <c r="D26" s="56">
        <f>B26/4500</f>
        <v>0.75781113122004595</v>
      </c>
      <c r="E26" s="34">
        <f>(C26-B26)/D26</f>
        <v>76.499999999999829</v>
      </c>
      <c r="F26" s="18"/>
      <c r="G26" s="18"/>
      <c r="H26" s="57">
        <f>D26*50/B26</f>
        <v>1.1111111111111112E-2</v>
      </c>
      <c r="I26" s="58">
        <f>B26-(D26*1080)</f>
        <v>2591.7140687725573</v>
      </c>
      <c r="J26" s="60">
        <v>0.06</v>
      </c>
      <c r="K26" s="61" t="s">
        <v>32</v>
      </c>
      <c r="L26" s="60">
        <v>0.01</v>
      </c>
      <c r="M26" s="53"/>
      <c r="N26" s="59" t="s">
        <v>29</v>
      </c>
    </row>
    <row r="27" spans="1:15" ht="13.5" thickBot="1">
      <c r="A27" s="15">
        <f>A26+7</f>
        <v>42519</v>
      </c>
      <c r="B27" s="17">
        <f>C26+F26-G26</f>
        <v>3468.1226420285402</v>
      </c>
      <c r="C27" s="17">
        <f>B27+(B27*-0.193)</f>
        <v>2798.7749721170321</v>
      </c>
      <c r="D27" s="17">
        <f>B27/4500</f>
        <v>0.77069392045078666</v>
      </c>
      <c r="E27" s="37">
        <f>(C27-B27)/D27</f>
        <v>-868.49999999999989</v>
      </c>
      <c r="F27" s="26">
        <v>1500</v>
      </c>
      <c r="G27" s="18"/>
      <c r="H27" s="19">
        <f>D27*50/B27</f>
        <v>1.1111111111111112E-2</v>
      </c>
      <c r="I27" s="18">
        <f>B27-(D27*1080)</f>
        <v>2635.7732079416905</v>
      </c>
      <c r="J27" s="60">
        <v>0.06</v>
      </c>
      <c r="K27" s="61" t="s">
        <v>33</v>
      </c>
      <c r="L27" s="62">
        <v>-0.12</v>
      </c>
      <c r="M27" s="9"/>
    </row>
    <row r="28" spans="1:15" ht="13.5" thickBot="1">
      <c r="A28" s="13"/>
      <c r="B28" s="22"/>
      <c r="C28" s="23"/>
      <c r="D28" s="23"/>
      <c r="E28" s="44">
        <v>-1313</v>
      </c>
      <c r="F28" s="30"/>
      <c r="G28" s="10"/>
      <c r="H28" s="24"/>
      <c r="I28" s="25"/>
      <c r="J28" s="45"/>
      <c r="K28" s="25"/>
      <c r="L28" s="45"/>
      <c r="M28" s="11"/>
    </row>
    <row r="29" spans="1:15">
      <c r="A29" s="15">
        <f>A27+7</f>
        <v>42526</v>
      </c>
      <c r="B29" s="20">
        <f>C27+F27-G27</f>
        <v>4298.7749721170321</v>
      </c>
      <c r="C29" s="17">
        <f>B29+(B29*-0.0986)</f>
        <v>3874.9157598662928</v>
      </c>
      <c r="D29" s="17">
        <f>B29/4500</f>
        <v>0.95528332713711828</v>
      </c>
      <c r="E29" s="37">
        <f>(C29-B29)/D29</f>
        <v>-443.7</v>
      </c>
      <c r="F29" s="18"/>
      <c r="G29" s="18"/>
      <c r="H29" s="19">
        <f>D29*50/B29</f>
        <v>1.1111111111111112E-2</v>
      </c>
      <c r="I29" s="18">
        <f>B29-(D29*1080)</f>
        <v>3267.0689788089444</v>
      </c>
      <c r="J29" s="62">
        <v>-0.09</v>
      </c>
      <c r="K29" s="50" t="s">
        <v>31</v>
      </c>
      <c r="L29" s="62">
        <v>-0.09</v>
      </c>
      <c r="M29" s="9"/>
    </row>
    <row r="30" spans="1:15">
      <c r="A30" s="15">
        <f>A29+7</f>
        <v>42533</v>
      </c>
      <c r="B30" s="20">
        <f>C29+F29-G29</f>
        <v>3874.9157598662928</v>
      </c>
      <c r="C30" s="17">
        <f>B30+(B30*-0.05)</f>
        <v>3681.1699718729783</v>
      </c>
      <c r="D30" s="38">
        <f>B30/15000</f>
        <v>0.2583277173244195</v>
      </c>
      <c r="E30" s="37">
        <f>(C30-B30)/D30</f>
        <v>-749.99999999999943</v>
      </c>
      <c r="F30" s="18"/>
      <c r="G30" s="18"/>
      <c r="H30" s="19">
        <f>D30*50/B30</f>
        <v>3.3333333333333331E-3</v>
      </c>
      <c r="I30" s="18">
        <f>B30-(D30*1080)</f>
        <v>3595.9218251559196</v>
      </c>
      <c r="J30" s="43"/>
      <c r="K30" s="18"/>
      <c r="L30" s="43"/>
      <c r="M30" s="9"/>
      <c r="N30" s="39" t="s">
        <v>22</v>
      </c>
    </row>
    <row r="31" spans="1:15">
      <c r="A31" s="15">
        <f>A30+7</f>
        <v>42540</v>
      </c>
      <c r="B31" s="20">
        <f>C30+F30-G30</f>
        <v>3681.1699718729783</v>
      </c>
      <c r="C31" s="17">
        <f>B31+(B31*0.1)</f>
        <v>4049.2869690602761</v>
      </c>
      <c r="D31" s="38">
        <f>B31/15000</f>
        <v>0.24541133145819854</v>
      </c>
      <c r="E31" s="34">
        <f>(C31-B31)/D31</f>
        <v>1499.9999999999998</v>
      </c>
      <c r="F31" s="26"/>
      <c r="G31" s="18"/>
      <c r="H31" s="19">
        <f>D31*50/B31</f>
        <v>3.3333333333333335E-3</v>
      </c>
      <c r="I31" s="18">
        <f>B31-(D31*1080)</f>
        <v>3416.1257338981241</v>
      </c>
      <c r="J31" s="43"/>
      <c r="K31" s="18"/>
      <c r="L31" s="43"/>
      <c r="M31" s="9"/>
      <c r="N31" s="39" t="s">
        <v>22</v>
      </c>
    </row>
    <row r="32" spans="1:15" ht="13.5" thickBot="1">
      <c r="A32" s="15">
        <f>A31+7</f>
        <v>42547</v>
      </c>
      <c r="B32" s="20">
        <f>C31+F31-G31</f>
        <v>4049.2869690602761</v>
      </c>
      <c r="C32" s="17">
        <f>B32+(B32*-0.117)</f>
        <v>3575.5203936802236</v>
      </c>
      <c r="D32" s="17">
        <f>B32/10000</f>
        <v>0.40492869690602762</v>
      </c>
      <c r="E32" s="37">
        <f>(C32-B32)/D32</f>
        <v>-1170.0000000000005</v>
      </c>
      <c r="F32" s="26"/>
      <c r="G32" s="21">
        <v>2000</v>
      </c>
      <c r="H32" s="19">
        <f>D32*50/B32</f>
        <v>5.0000000000000001E-3</v>
      </c>
      <c r="I32" s="18">
        <f>B32-(D32*1080)</f>
        <v>3611.9639764017661</v>
      </c>
      <c r="J32" s="43"/>
      <c r="K32" s="18"/>
      <c r="L32" s="43"/>
      <c r="M32" s="9"/>
      <c r="N32" s="36" t="s">
        <v>23</v>
      </c>
    </row>
    <row r="33" spans="1:15" ht="13.5" thickBot="1">
      <c r="A33" s="13"/>
      <c r="B33" s="22"/>
      <c r="C33" s="23"/>
      <c r="D33" s="23"/>
      <c r="E33" s="44">
        <v>-864</v>
      </c>
      <c r="F33" s="30"/>
      <c r="G33" s="10"/>
      <c r="H33" s="24"/>
      <c r="I33" s="25"/>
      <c r="J33" s="45"/>
      <c r="K33" s="25"/>
      <c r="L33" s="45"/>
      <c r="M33" s="11"/>
    </row>
    <row r="34" spans="1:15" s="1" customFormat="1">
      <c r="A34" s="15">
        <f>A32+7</f>
        <v>42554</v>
      </c>
      <c r="B34" s="20">
        <f>C32+F32-G32</f>
        <v>1575.5203936802236</v>
      </c>
      <c r="C34" s="17">
        <f>B34+(B34*-0.047)</f>
        <v>1501.4709351772531</v>
      </c>
      <c r="D34" s="17">
        <f>B34/10000</f>
        <v>0.15755203936802237</v>
      </c>
      <c r="E34" s="37">
        <f>(C34-B34)/D34</f>
        <v>-470.00000000000017</v>
      </c>
      <c r="F34" s="18">
        <v>615</v>
      </c>
      <c r="G34" s="21">
        <v>200</v>
      </c>
      <c r="H34" s="19">
        <f>D34*50/B34</f>
        <v>5.0000000000000001E-3</v>
      </c>
      <c r="I34" s="18">
        <f>B34-(D34*1080)</f>
        <v>1405.3641911627594</v>
      </c>
      <c r="J34" s="43"/>
      <c r="K34" s="18"/>
      <c r="L34" s="43"/>
      <c r="M34" s="9"/>
      <c r="N34" s="63" t="s">
        <v>34</v>
      </c>
    </row>
    <row r="35" spans="1:15" s="1" customFormat="1">
      <c r="A35" s="15">
        <f>A34+7</f>
        <v>42561</v>
      </c>
      <c r="B35" s="20">
        <f>C34+F34-G34</f>
        <v>1916.4709351772531</v>
      </c>
      <c r="C35" s="17">
        <f>B35+(B35*0.226)</f>
        <v>2349.5933665273124</v>
      </c>
      <c r="D35" s="17">
        <f>B35/10000</f>
        <v>0.1916470935177253</v>
      </c>
      <c r="E35" s="34">
        <f>(C35-B35)/D35</f>
        <v>2260.0000000000005</v>
      </c>
      <c r="F35" s="18">
        <v>1350</v>
      </c>
      <c r="G35" s="18"/>
      <c r="H35" s="19">
        <f>D35*50/B35</f>
        <v>5.0000000000000001E-3</v>
      </c>
      <c r="I35" s="18">
        <f>B35-(D35*1080)</f>
        <v>1709.4920741781098</v>
      </c>
      <c r="J35" s="43"/>
      <c r="K35" s="18"/>
      <c r="L35" s="43"/>
      <c r="M35" s="9"/>
      <c r="N35" s="36" t="s">
        <v>23</v>
      </c>
    </row>
    <row r="36" spans="1:15" s="1" customFormat="1">
      <c r="A36" s="15">
        <f>A35+7</f>
        <v>42568</v>
      </c>
      <c r="B36" s="20">
        <f>C35+F35-G35</f>
        <v>3699.5933665273124</v>
      </c>
      <c r="C36" s="17">
        <f>B36+(B36*-0.207277)</f>
        <v>2932.7527522936307</v>
      </c>
      <c r="D36" s="17">
        <f>B36/10000</f>
        <v>0.36995933665273123</v>
      </c>
      <c r="E36" s="35">
        <f>(C36-B36)/D36</f>
        <v>-2072.77</v>
      </c>
      <c r="F36" s="26"/>
      <c r="G36" s="18"/>
      <c r="H36" s="19">
        <f>D36*50/B36</f>
        <v>4.9999999999999992E-3</v>
      </c>
      <c r="I36" s="18">
        <f>B36-(D36*1080)</f>
        <v>3300.0372829423627</v>
      </c>
      <c r="J36" s="43"/>
      <c r="K36" s="18"/>
      <c r="L36" s="43"/>
      <c r="M36" s="9"/>
    </row>
    <row r="37" spans="1:15" ht="13.5" thickBot="1">
      <c r="A37" s="15">
        <f>A36+7</f>
        <v>42575</v>
      </c>
      <c r="B37" s="20">
        <f>C36+F36-G36</f>
        <v>2932.7527522936307</v>
      </c>
      <c r="C37" s="17">
        <f>B37+(B37*-0.1674)</f>
        <v>2441.8099415596771</v>
      </c>
      <c r="D37" s="17">
        <f>B37/10000</f>
        <v>0.29327527522936309</v>
      </c>
      <c r="E37" s="35">
        <f>(C37-B37)/D37</f>
        <v>-1673.9999999999993</v>
      </c>
      <c r="F37" s="26"/>
      <c r="G37" s="18"/>
      <c r="H37" s="19">
        <f>D37*50/B37</f>
        <v>5.0000000000000001E-3</v>
      </c>
      <c r="I37" s="18">
        <f>B37-(D37*1080)</f>
        <v>2616.0154550459183</v>
      </c>
      <c r="J37" s="43"/>
      <c r="K37" s="18"/>
      <c r="L37" s="43"/>
      <c r="M37" s="9"/>
    </row>
    <row r="38" spans="1:15" ht="13.5" thickBot="1">
      <c r="A38" s="13"/>
      <c r="B38" s="22"/>
      <c r="C38" s="23"/>
      <c r="D38" s="23"/>
      <c r="E38" s="44">
        <v>-1957</v>
      </c>
      <c r="F38" s="30"/>
      <c r="G38" s="10"/>
      <c r="H38" s="24"/>
      <c r="I38" s="25"/>
      <c r="J38" s="45"/>
      <c r="K38" s="25"/>
      <c r="L38" s="45"/>
      <c r="M38" s="11"/>
    </row>
    <row r="39" spans="1:15">
      <c r="A39" s="15">
        <f>A37+7</f>
        <v>42582</v>
      </c>
      <c r="B39" s="20">
        <f>C37+F37-G37</f>
        <v>2441.8099415596771</v>
      </c>
      <c r="C39" s="17">
        <f>B39+(B39*-0.0021)</f>
        <v>2436.682140682402</v>
      </c>
      <c r="D39" s="17">
        <f>B39/7000</f>
        <v>0.34882999165138245</v>
      </c>
      <c r="E39" s="35">
        <f>(C39-B39)/D39</f>
        <v>-14.699999999999504</v>
      </c>
      <c r="F39" s="18"/>
      <c r="G39" s="18"/>
      <c r="H39" s="19">
        <f>D39*50/B39</f>
        <v>7.1428571428571426E-3</v>
      </c>
      <c r="I39" s="18">
        <f>B39-(D39*1080)</f>
        <v>2065.0735505761841</v>
      </c>
      <c r="J39" s="43"/>
      <c r="K39" s="18"/>
      <c r="L39" s="43"/>
      <c r="M39" s="9"/>
    </row>
    <row r="40" spans="1:15">
      <c r="A40" s="15">
        <f>A39+7</f>
        <v>42589</v>
      </c>
      <c r="B40" s="20">
        <f>C39+F39-G39</f>
        <v>2436.682140682402</v>
      </c>
      <c r="C40" s="17">
        <f>B40+(B40*-0.05)</f>
        <v>2314.8480336482817</v>
      </c>
      <c r="D40" s="17">
        <f>B40/7000</f>
        <v>0.34809744866891457</v>
      </c>
      <c r="E40" s="35">
        <f>(C40-B40)/D40</f>
        <v>-350.00000000000051</v>
      </c>
      <c r="F40" s="18"/>
      <c r="G40" s="18"/>
      <c r="H40" s="19">
        <f>D40*50/B40</f>
        <v>7.1428571428571426E-3</v>
      </c>
      <c r="I40" s="18">
        <f>B40-(D40*1080)</f>
        <v>2060.7368961199741</v>
      </c>
      <c r="J40" s="43"/>
      <c r="K40" s="18"/>
      <c r="L40" s="43"/>
      <c r="M40" s="9"/>
    </row>
    <row r="41" spans="1:15">
      <c r="A41" s="15">
        <f>A40+7</f>
        <v>42596</v>
      </c>
      <c r="B41" s="20">
        <f>C40+F40-G40</f>
        <v>2314.8480336482817</v>
      </c>
      <c r="C41" s="17">
        <f>B41+(B41*-0.039)</f>
        <v>2224.5689603359988</v>
      </c>
      <c r="D41" s="17">
        <f>B41/7000</f>
        <v>0.33069257623546883</v>
      </c>
      <c r="E41" s="37">
        <f>(C41-B41)/D41</f>
        <v>-272.99999999999972</v>
      </c>
      <c r="F41" s="26"/>
      <c r="G41" s="18"/>
      <c r="H41" s="19">
        <f>D41*50/B41</f>
        <v>7.1428571428571435E-3</v>
      </c>
      <c r="I41" s="18">
        <f>B41-(D41*1080)</f>
        <v>1957.7000513139753</v>
      </c>
      <c r="J41" s="43"/>
      <c r="K41" s="18"/>
      <c r="L41" s="43"/>
      <c r="M41" s="9"/>
    </row>
    <row r="42" spans="1:15" ht="13.5" thickBot="1">
      <c r="A42" s="15">
        <f>A41+7</f>
        <v>42603</v>
      </c>
      <c r="B42" s="20">
        <f>C41+F41-G41</f>
        <v>2224.5689603359988</v>
      </c>
      <c r="C42" s="17">
        <f>B42+(B42*-0.035)</f>
        <v>2146.7090467242388</v>
      </c>
      <c r="D42" s="17">
        <f>B42/7000</f>
        <v>0.31779556576228551</v>
      </c>
      <c r="E42" s="35">
        <f>(C42-B42)/D42</f>
        <v>-245.00000000000023</v>
      </c>
      <c r="F42" s="26"/>
      <c r="G42" s="18"/>
      <c r="H42" s="19">
        <f>D42*50/B42</f>
        <v>7.1428571428571418E-3</v>
      </c>
      <c r="I42" s="18">
        <f>B42-(D42*1080)</f>
        <v>1881.3497493127304</v>
      </c>
      <c r="J42" s="43"/>
      <c r="K42" s="18"/>
      <c r="L42" s="43"/>
      <c r="M42" s="9"/>
    </row>
    <row r="43" spans="1:15" ht="13.5" thickBot="1">
      <c r="A43" s="13"/>
      <c r="B43" s="22"/>
      <c r="C43" s="23"/>
      <c r="D43" s="23"/>
      <c r="E43" s="44">
        <v>-883</v>
      </c>
      <c r="F43" s="30"/>
      <c r="G43" s="10"/>
      <c r="H43" s="24"/>
      <c r="I43" s="25"/>
      <c r="J43" s="45"/>
      <c r="K43" s="25"/>
      <c r="L43" s="45"/>
      <c r="M43" s="11"/>
    </row>
    <row r="44" spans="1:15">
      <c r="A44" s="15">
        <f>A42+7</f>
        <v>42610</v>
      </c>
      <c r="B44" s="20">
        <f>C42+F42-G42</f>
        <v>2146.7090467242388</v>
      </c>
      <c r="C44" s="17">
        <f>B44+(B44*0.16)</f>
        <v>2490.1824942001172</v>
      </c>
      <c r="D44" s="17">
        <f>B44/7000</f>
        <v>0.30667272096060555</v>
      </c>
      <c r="E44" s="34">
        <f>(C44-B44)/D44</f>
        <v>1120.0000000000007</v>
      </c>
      <c r="F44" s="18">
        <v>3400</v>
      </c>
      <c r="G44" s="18"/>
      <c r="H44" s="19">
        <f>D44*50/B44</f>
        <v>7.1428571428571426E-3</v>
      </c>
      <c r="I44" s="18">
        <f>B44-(D44*1080)</f>
        <v>1815.5025080867847</v>
      </c>
      <c r="J44" s="43"/>
      <c r="K44" s="18"/>
      <c r="L44" s="43"/>
      <c r="M44" s="9"/>
    </row>
    <row r="45" spans="1:15">
      <c r="A45" s="15">
        <f>A44+7</f>
        <v>42617</v>
      </c>
      <c r="B45" s="20">
        <f>C44+F44-G44</f>
        <v>5890.1824942001167</v>
      </c>
      <c r="C45" s="17">
        <f>B45+(B45*0.128)</f>
        <v>6644.1258534577319</v>
      </c>
      <c r="D45" s="17">
        <f>B45/7000</f>
        <v>0.84145464202858811</v>
      </c>
      <c r="E45" s="34">
        <f>(C45-B45)/D45</f>
        <v>896.00000000000023</v>
      </c>
      <c r="F45" s="18"/>
      <c r="G45" s="18"/>
      <c r="H45" s="19">
        <f>D45*50/B45</f>
        <v>7.1428571428571426E-3</v>
      </c>
      <c r="I45" s="18">
        <f>B45-(D45*1080)</f>
        <v>4981.4114808092418</v>
      </c>
      <c r="J45" s="43"/>
      <c r="K45" s="18"/>
      <c r="L45" s="43"/>
      <c r="M45" s="9"/>
      <c r="N45" s="41" t="s">
        <v>35</v>
      </c>
      <c r="O45" s="31"/>
    </row>
    <row r="46" spans="1:15">
      <c r="A46" s="15">
        <f>A45+7</f>
        <v>42624</v>
      </c>
      <c r="B46" s="20">
        <f>C45+F45-G45</f>
        <v>6644.1258534577319</v>
      </c>
      <c r="C46" s="17">
        <f>B46+(B46*0.0724)</f>
        <v>7125.1605652480721</v>
      </c>
      <c r="D46" s="17">
        <f>B46/7000</f>
        <v>0.94916083620824743</v>
      </c>
      <c r="E46" s="34">
        <f>(C46-B46)/D46</f>
        <v>506.80000000000047</v>
      </c>
      <c r="F46" s="26"/>
      <c r="G46" s="18"/>
      <c r="H46" s="19">
        <f>D46*50/B46</f>
        <v>7.1428571428571426E-3</v>
      </c>
      <c r="I46" s="18">
        <f>B46-(D46*1080)</f>
        <v>5619.0321503528248</v>
      </c>
      <c r="J46" s="43"/>
      <c r="K46" s="18"/>
      <c r="L46" s="43"/>
      <c r="M46" s="9"/>
      <c r="N46" s="31"/>
      <c r="O46" s="31"/>
    </row>
    <row r="47" spans="1:15" ht="13.5" thickBot="1">
      <c r="A47" s="15">
        <f>A46+7</f>
        <v>42631</v>
      </c>
      <c r="B47" s="20">
        <f>C46+F46-G46</f>
        <v>7125.1605652480721</v>
      </c>
      <c r="C47" s="17">
        <f>B47+(B47*-0.17)</f>
        <v>5913.8832691559001</v>
      </c>
      <c r="D47" s="17">
        <f>B47/5000</f>
        <v>1.4250321130496144</v>
      </c>
      <c r="E47" s="35">
        <f>(C47-B47)/D47</f>
        <v>-849.99999999999989</v>
      </c>
      <c r="F47" s="26"/>
      <c r="G47" s="21">
        <v>500</v>
      </c>
      <c r="H47" s="19">
        <f>D47*50/B47</f>
        <v>0.01</v>
      </c>
      <c r="I47" s="18">
        <f>B47-(D47*1080)</f>
        <v>5586.1258831544883</v>
      </c>
      <c r="J47" s="43"/>
      <c r="K47" s="18"/>
      <c r="L47" s="43"/>
      <c r="M47" s="9"/>
      <c r="N47" s="31"/>
      <c r="O47" s="31"/>
    </row>
    <row r="48" spans="1:15" ht="13.5" thickBot="1">
      <c r="A48" s="13"/>
      <c r="B48" s="22"/>
      <c r="C48" s="23"/>
      <c r="D48" s="23"/>
      <c r="E48" s="44">
        <v>1673</v>
      </c>
      <c r="F48" s="30"/>
      <c r="G48" s="10"/>
      <c r="H48" s="24"/>
      <c r="I48" s="25"/>
      <c r="J48" s="45"/>
      <c r="K48" s="25"/>
      <c r="L48" s="45"/>
      <c r="M48" s="11"/>
    </row>
    <row r="49" spans="1:15">
      <c r="A49" s="15">
        <f>A47+7</f>
        <v>42638</v>
      </c>
      <c r="B49" s="20">
        <f>C47+F47-G47</f>
        <v>5413.8832691559001</v>
      </c>
      <c r="C49" s="17">
        <f>B49+(B49*-0.26)</f>
        <v>4006.2736191753661</v>
      </c>
      <c r="D49" s="17">
        <f>B49/5000</f>
        <v>1.08277665383118</v>
      </c>
      <c r="E49" s="37">
        <f>(C49-B49)/D49</f>
        <v>-1300</v>
      </c>
      <c r="F49" s="18"/>
      <c r="G49" s="18"/>
      <c r="H49" s="19">
        <f>D49*50/B49</f>
        <v>0.01</v>
      </c>
      <c r="I49" s="18">
        <f>B49-(D49*1080)</f>
        <v>4244.4844830182255</v>
      </c>
      <c r="J49" s="43"/>
      <c r="K49" s="18"/>
      <c r="L49" s="43"/>
      <c r="M49" s="9"/>
    </row>
    <row r="50" spans="1:15">
      <c r="A50" s="15">
        <f>A49+7</f>
        <v>42645</v>
      </c>
      <c r="B50" s="20">
        <f>C49+F49-G49</f>
        <v>4006.2736191753661</v>
      </c>
      <c r="C50" s="17">
        <f>B50+(B50*0.17835)</f>
        <v>4720.7925191552931</v>
      </c>
      <c r="D50" s="17">
        <f>B50/4000</f>
        <v>1.0015684047938416</v>
      </c>
      <c r="E50" s="34">
        <f>(C50-B50)/D50</f>
        <v>713.40000000000043</v>
      </c>
      <c r="F50" s="18"/>
      <c r="G50" s="18"/>
      <c r="H50" s="19">
        <f>D50*50/B50</f>
        <v>1.2500000000000001E-2</v>
      </c>
      <c r="I50" s="18">
        <f>B50-(D50*1080)</f>
        <v>2924.5797419980172</v>
      </c>
      <c r="J50" s="60">
        <v>0.2</v>
      </c>
      <c r="K50" s="61" t="s">
        <v>30</v>
      </c>
      <c r="L50" s="60">
        <v>0.17</v>
      </c>
      <c r="M50" s="9"/>
      <c r="N50" s="31"/>
      <c r="O50" s="31"/>
    </row>
    <row r="51" spans="1:15">
      <c r="A51" s="15">
        <f>A50+7</f>
        <v>42652</v>
      </c>
      <c r="B51" s="20">
        <f>C50+F50-G50</f>
        <v>4720.7925191552931</v>
      </c>
      <c r="C51" s="17">
        <f>B51+(B51*0.19)</f>
        <v>5617.7430977947988</v>
      </c>
      <c r="D51" s="17">
        <f>B51/4000</f>
        <v>1.1801981297888233</v>
      </c>
      <c r="E51" s="34">
        <f>(C51-B51)/D51</f>
        <v>760</v>
      </c>
      <c r="F51" s="26"/>
      <c r="G51" s="18"/>
      <c r="H51" s="19">
        <f>D51*50/B51</f>
        <v>1.2500000000000001E-2</v>
      </c>
      <c r="I51" s="18">
        <f>B51-(D51*1080)</f>
        <v>3446.178538983364</v>
      </c>
      <c r="J51" s="60">
        <v>0.22</v>
      </c>
      <c r="K51" s="61" t="s">
        <v>33</v>
      </c>
      <c r="L51" s="60">
        <v>0.19</v>
      </c>
      <c r="M51" s="9"/>
      <c r="N51" s="31"/>
      <c r="O51" s="31"/>
    </row>
    <row r="52" spans="1:15" s="1" customFormat="1" ht="13.5" thickBot="1">
      <c r="A52" s="15">
        <f>A51+7</f>
        <v>42659</v>
      </c>
      <c r="B52" s="20">
        <f>C51+F51-G51</f>
        <v>5617.7430977947988</v>
      </c>
      <c r="C52" s="17">
        <f>B52+(B52*0.085)</f>
        <v>6095.2512611073571</v>
      </c>
      <c r="D52" s="17">
        <f>B52/4000</f>
        <v>1.4044357744486997</v>
      </c>
      <c r="E52" s="34">
        <f>(C52-B52)/D52</f>
        <v>340.00000000000028</v>
      </c>
      <c r="F52" s="26"/>
      <c r="G52" s="18"/>
      <c r="H52" s="19">
        <f>D52*50/B52</f>
        <v>1.2499999999999999E-2</v>
      </c>
      <c r="I52" s="18">
        <f>B52-(D52*1080)</f>
        <v>4100.9524613902031</v>
      </c>
      <c r="J52" s="60">
        <v>0.1</v>
      </c>
      <c r="K52" s="61" t="s">
        <v>30</v>
      </c>
      <c r="L52" s="60">
        <v>0.08</v>
      </c>
      <c r="M52" s="9"/>
      <c r="N52" s="31"/>
      <c r="O52" s="31"/>
    </row>
    <row r="53" spans="1:15" ht="13.5" thickBot="1">
      <c r="A53" s="13"/>
      <c r="B53" s="22"/>
      <c r="C53" s="23"/>
      <c r="D53" s="23"/>
      <c r="E53" s="44">
        <v>513</v>
      </c>
      <c r="F53" s="30"/>
      <c r="G53" s="10"/>
      <c r="H53" s="24"/>
      <c r="I53" s="25"/>
      <c r="J53" s="45"/>
      <c r="K53" s="25"/>
      <c r="L53" s="45"/>
      <c r="M53" s="11"/>
    </row>
    <row r="54" spans="1:15">
      <c r="A54" s="15">
        <f>A52+7</f>
        <v>42666</v>
      </c>
      <c r="B54" s="20">
        <f>C52+F52-G52</f>
        <v>6095.2512611073571</v>
      </c>
      <c r="C54" s="17">
        <f>B54+(B54*-0.053)</f>
        <v>5772.2029442686671</v>
      </c>
      <c r="D54" s="17">
        <f>B54/4000</f>
        <v>1.5238128152768393</v>
      </c>
      <c r="E54" s="34">
        <f>(C54-B54)/D54</f>
        <v>-212.00000000000003</v>
      </c>
      <c r="F54" s="18"/>
      <c r="G54" s="21">
        <v>350</v>
      </c>
      <c r="H54" s="19">
        <f>D54*50/B54</f>
        <v>1.2500000000000001E-2</v>
      </c>
      <c r="I54" s="18">
        <f>B54-(D54*1080)</f>
        <v>4449.5334206083708</v>
      </c>
      <c r="J54" s="60">
        <v>0.1</v>
      </c>
      <c r="K54" s="61" t="s">
        <v>0</v>
      </c>
      <c r="L54" s="62">
        <v>-0.05</v>
      </c>
      <c r="M54" s="9"/>
    </row>
    <row r="55" spans="1:15">
      <c r="A55" s="15">
        <f>A54+7</f>
        <v>42673</v>
      </c>
      <c r="B55" s="20">
        <f>C54+F54-G54</f>
        <v>5422.2029442686671</v>
      </c>
      <c r="C55" s="17">
        <f>B55+(B55*0.255)</f>
        <v>6804.8646950571774</v>
      </c>
      <c r="D55" s="17">
        <f>B55/4000</f>
        <v>1.3555507360671668</v>
      </c>
      <c r="E55" s="34">
        <f>(C55-B55)/D55</f>
        <v>1020.0000000000001</v>
      </c>
      <c r="F55" s="18"/>
      <c r="G55" s="21">
        <v>108</v>
      </c>
      <c r="H55" s="19">
        <f>D55*50/B55</f>
        <v>1.2500000000000001E-2</v>
      </c>
      <c r="I55" s="18">
        <f>B55-(D55*1080)</f>
        <v>3958.2081493161268</v>
      </c>
      <c r="J55" s="60">
        <v>0.3</v>
      </c>
      <c r="K55" s="61" t="s">
        <v>33</v>
      </c>
      <c r="L55" s="60">
        <v>0.25</v>
      </c>
      <c r="M55" s="9"/>
      <c r="N55" s="31"/>
      <c r="O55" s="31"/>
    </row>
    <row r="56" spans="1:15">
      <c r="A56" s="15">
        <f>A55+7</f>
        <v>42680</v>
      </c>
      <c r="B56" s="20">
        <f>C55+F55-G55</f>
        <v>6696.8646950571774</v>
      </c>
      <c r="C56" s="17">
        <f>B56+(B56*0.043)</f>
        <v>6984.8298769446355</v>
      </c>
      <c r="D56" s="17">
        <f>B56/3250</f>
        <v>2.0605737523252854</v>
      </c>
      <c r="E56" s="34">
        <f>(C56-B56)/D56</f>
        <v>139.74999999999974</v>
      </c>
      <c r="F56" s="26"/>
      <c r="G56" s="21">
        <f>D56*50</f>
        <v>103.02868761626426</v>
      </c>
      <c r="H56" s="19">
        <f>D56*50/B56</f>
        <v>1.5384615384615384E-2</v>
      </c>
      <c r="I56" s="18">
        <f>B56-(D56*1080)</f>
        <v>4471.445042545869</v>
      </c>
      <c r="J56" s="60">
        <v>0.15</v>
      </c>
      <c r="K56" s="61" t="s">
        <v>33</v>
      </c>
      <c r="L56" s="60">
        <v>0.04</v>
      </c>
      <c r="M56" s="9"/>
      <c r="N56" s="31"/>
      <c r="O56" s="31"/>
    </row>
    <row r="57" spans="1:15" ht="13.5" thickBot="1">
      <c r="A57" s="15">
        <f>A56+7</f>
        <v>42687</v>
      </c>
      <c r="B57" s="20">
        <f>C56+F56-G56</f>
        <v>6881.801189328371</v>
      </c>
      <c r="C57" s="17">
        <f>B57+(B57*0.14)</f>
        <v>7845.253355834343</v>
      </c>
      <c r="D57" s="17">
        <f>B57/3250</f>
        <v>2.117477289024114</v>
      </c>
      <c r="E57" s="34">
        <f>(C57-B57)/D57</f>
        <v>455.00000000000006</v>
      </c>
      <c r="F57" s="26"/>
      <c r="G57" s="21">
        <v>103</v>
      </c>
      <c r="H57" s="19">
        <f>D57*50/B57</f>
        <v>1.5384615384615384E-2</v>
      </c>
      <c r="I57" s="18">
        <f>B57-(D57*1080)</f>
        <v>4594.9257171823283</v>
      </c>
      <c r="J57" s="60">
        <v>0.14000000000000001</v>
      </c>
      <c r="K57" s="61" t="s">
        <v>33</v>
      </c>
      <c r="L57" s="60">
        <v>0.14000000000000001</v>
      </c>
      <c r="M57" s="9"/>
      <c r="N57" s="31"/>
      <c r="O57" s="31"/>
    </row>
    <row r="58" spans="1:15" ht="13.5" thickBot="1">
      <c r="A58" s="13"/>
      <c r="B58" s="22"/>
      <c r="C58" s="23"/>
      <c r="D58" s="23"/>
      <c r="E58" s="44">
        <v>1403</v>
      </c>
      <c r="F58" s="30"/>
      <c r="G58" s="10"/>
      <c r="H58" s="24"/>
      <c r="I58" s="25"/>
      <c r="J58" s="45"/>
      <c r="K58" s="25"/>
      <c r="L58" s="45"/>
      <c r="M58" s="11"/>
    </row>
    <row r="59" spans="1:15">
      <c r="A59" s="15">
        <f>A57+7</f>
        <v>42694</v>
      </c>
      <c r="B59" s="20">
        <f>C57+F57-G57</f>
        <v>7742.253355834343</v>
      </c>
      <c r="C59" s="17">
        <f>B59+(B59*0.075)</f>
        <v>8322.9223575219185</v>
      </c>
      <c r="D59" s="17">
        <f>B59/3250</f>
        <v>2.3822318017951822</v>
      </c>
      <c r="E59" s="34">
        <f>(C59-B59)/D59</f>
        <v>243.74999999999991</v>
      </c>
      <c r="F59" s="18"/>
      <c r="G59" s="21">
        <v>112</v>
      </c>
      <c r="H59" s="19">
        <f>D59*50/B59</f>
        <v>1.5384615384615384E-2</v>
      </c>
      <c r="I59" s="18">
        <f>B59-(D59*1080)</f>
        <v>5169.4430098955463</v>
      </c>
      <c r="J59" s="60">
        <v>7.0000000000000007E-2</v>
      </c>
      <c r="K59" s="61" t="s">
        <v>36</v>
      </c>
      <c r="L59" s="60">
        <v>7.0000000000000007E-2</v>
      </c>
      <c r="M59" s="9"/>
    </row>
    <row r="60" spans="1:15">
      <c r="A60" s="15">
        <f>A59+7</f>
        <v>42701</v>
      </c>
      <c r="B60" s="20">
        <f>C59+F59-G59</f>
        <v>8210.9223575219185</v>
      </c>
      <c r="C60" s="17">
        <f>B60+(B60*-0.1780035)</f>
        <v>6749.3494396547658</v>
      </c>
      <c r="D60" s="17">
        <f>B60/3250</f>
        <v>2.5264376484682827</v>
      </c>
      <c r="E60" s="35">
        <f>(C60-B60)/D60</f>
        <v>-578.51137499999993</v>
      </c>
      <c r="F60" s="18"/>
      <c r="G60" s="21"/>
      <c r="H60" s="19">
        <f>D60*50/B60</f>
        <v>1.5384615384615385E-2</v>
      </c>
      <c r="I60" s="18">
        <f>B60-(D60*1080)</f>
        <v>5482.3696971761728</v>
      </c>
      <c r="J60" s="62">
        <v>-0.17</v>
      </c>
      <c r="K60" s="61" t="s">
        <v>36</v>
      </c>
      <c r="L60" s="62">
        <v>-0.17</v>
      </c>
      <c r="M60" s="9"/>
      <c r="N60" s="31"/>
      <c r="O60" s="31"/>
    </row>
    <row r="61" spans="1:15">
      <c r="A61" s="15">
        <f>A60+7</f>
        <v>42708</v>
      </c>
      <c r="B61" s="20">
        <f>C60+F60-G60</f>
        <v>6749.3494396547658</v>
      </c>
      <c r="C61" s="17">
        <f>B61+(B61*0.0164)</f>
        <v>6860.0387704651039</v>
      </c>
      <c r="D61" s="17">
        <f>B61/3250</f>
        <v>2.0767229045091589</v>
      </c>
      <c r="E61" s="34">
        <f>(C61-B61)/D61</f>
        <v>53.299999999999969</v>
      </c>
      <c r="F61" s="26"/>
      <c r="G61" s="21">
        <v>100</v>
      </c>
      <c r="H61" s="19">
        <f>D61*50/B61</f>
        <v>1.5384615384615385E-2</v>
      </c>
      <c r="I61" s="18">
        <f>B61-(D61*1080)</f>
        <v>4506.4887027848745</v>
      </c>
      <c r="J61" s="60">
        <v>7.0000000000000007E-2</v>
      </c>
      <c r="K61" s="61" t="s">
        <v>30</v>
      </c>
      <c r="L61" s="60">
        <v>0.01</v>
      </c>
      <c r="M61" s="9"/>
      <c r="N61" s="31"/>
      <c r="O61" s="31"/>
    </row>
    <row r="62" spans="1:15" ht="13.5" thickBot="1">
      <c r="A62" s="15">
        <f>A61+7</f>
        <v>42715</v>
      </c>
      <c r="B62" s="20">
        <f>C61+F61-G61</f>
        <v>6760.0387704651039</v>
      </c>
      <c r="C62" s="17">
        <f>B62+(B62*-0.17985)</f>
        <v>5544.2457975969546</v>
      </c>
      <c r="D62" s="17">
        <f>B62/3250</f>
        <v>2.0800119293738781</v>
      </c>
      <c r="E62" s="28">
        <f>(C62-B62)/D62</f>
        <v>-584.51250000000016</v>
      </c>
      <c r="F62" s="26"/>
      <c r="G62" s="18"/>
      <c r="H62" s="19">
        <f>D62*50/B62</f>
        <v>1.5384615384615385E-2</v>
      </c>
      <c r="I62" s="18">
        <f>B62-(D62*1080)</f>
        <v>4513.6258867413153</v>
      </c>
      <c r="J62" s="60">
        <v>0.1</v>
      </c>
      <c r="K62" s="61" t="s">
        <v>0</v>
      </c>
      <c r="L62" s="62">
        <v>-0.18</v>
      </c>
      <c r="M62" s="9"/>
      <c r="N62" s="31"/>
      <c r="O62" s="31"/>
    </row>
    <row r="63" spans="1:15" ht="13.5" thickBot="1">
      <c r="A63" s="13"/>
      <c r="B63" s="22"/>
      <c r="C63" s="23"/>
      <c r="D63" s="23"/>
      <c r="E63" s="44">
        <v>-866</v>
      </c>
      <c r="F63" s="30"/>
      <c r="G63" s="10"/>
      <c r="H63" s="24"/>
      <c r="I63" s="25"/>
      <c r="J63" s="45"/>
      <c r="K63" s="25"/>
      <c r="L63" s="45"/>
      <c r="M63" s="11"/>
    </row>
    <row r="64" spans="1:15">
      <c r="A64" s="15">
        <f>A62+7</f>
        <v>42722</v>
      </c>
      <c r="B64" s="20">
        <f>C62+F62-G62</f>
        <v>5544.2457975969546</v>
      </c>
      <c r="C64" s="17">
        <f>B64+(B64*0.07)</f>
        <v>5932.3430034287412</v>
      </c>
      <c r="D64" s="17">
        <f>B64/3250</f>
        <v>1.7059217838759861</v>
      </c>
      <c r="E64" s="34">
        <f>(C64-B64)/D64</f>
        <v>227.49999999999986</v>
      </c>
      <c r="F64" s="18"/>
      <c r="G64" s="18"/>
      <c r="H64" s="19">
        <f>D64*50/B64</f>
        <v>1.5384615384615385E-2</v>
      </c>
      <c r="I64" s="18">
        <f>B64-(D64*1080)</f>
        <v>3701.8502710108896</v>
      </c>
      <c r="J64" s="60">
        <v>7.0000000000000007E-2</v>
      </c>
      <c r="K64" s="61" t="s">
        <v>36</v>
      </c>
      <c r="L64" s="60">
        <v>7.0000000000000007E-2</v>
      </c>
      <c r="M64" s="9"/>
    </row>
    <row r="65" spans="1:15">
      <c r="A65" s="15">
        <f>A64+7</f>
        <v>42729</v>
      </c>
      <c r="B65" s="20">
        <f>C64+F64-G64</f>
        <v>5932.3430034287412</v>
      </c>
      <c r="C65" s="17">
        <f>B65+(B65*-0.0815)</f>
        <v>5448.857048649299</v>
      </c>
      <c r="D65" s="17">
        <f>B65/3250</f>
        <v>1.8253363087473049</v>
      </c>
      <c r="E65" s="37">
        <f>(C65-B65)/D65</f>
        <v>-264.87499999999989</v>
      </c>
      <c r="F65" s="18"/>
      <c r="G65" s="18"/>
      <c r="H65" s="19">
        <f>D65*50/B65</f>
        <v>1.5384615384615382E-2</v>
      </c>
      <c r="I65" s="18">
        <f>B65-(D65*1080)</f>
        <v>3960.9797899816522</v>
      </c>
      <c r="J65" s="60">
        <v>0.04</v>
      </c>
      <c r="K65" s="61" t="s">
        <v>30</v>
      </c>
      <c r="L65" s="62">
        <v>-0.08</v>
      </c>
      <c r="M65" s="9"/>
      <c r="N65" s="31"/>
      <c r="O65" s="31"/>
    </row>
    <row r="66" spans="1:15">
      <c r="A66" s="15">
        <f>A65+7</f>
        <v>42736</v>
      </c>
      <c r="B66" s="20">
        <f>C65+F65-G65</f>
        <v>5448.857048649299</v>
      </c>
      <c r="C66" s="17">
        <f>B66+(B66*-0.096)</f>
        <v>4925.7667719789661</v>
      </c>
      <c r="D66" s="17">
        <f>B66/3250</f>
        <v>1.6765713995843996</v>
      </c>
      <c r="E66" s="35">
        <f>(C66-B66)/D66</f>
        <v>-312.00000000000017</v>
      </c>
      <c r="F66" s="26"/>
      <c r="G66" s="18"/>
      <c r="H66" s="19">
        <f>D66*50/B66</f>
        <v>1.5384615384615384E-2</v>
      </c>
      <c r="I66" s="18">
        <f>B66-(D66*1080)</f>
        <v>3638.1599370981476</v>
      </c>
      <c r="J66" s="60">
        <v>0.03</v>
      </c>
      <c r="K66" s="61" t="s">
        <v>36</v>
      </c>
      <c r="L66" s="62">
        <v>-0.09</v>
      </c>
      <c r="M66" s="9"/>
      <c r="N66" s="31"/>
      <c r="O66" s="31"/>
    </row>
    <row r="67" spans="1:15" ht="13.5" thickBot="1">
      <c r="A67" s="15">
        <f>A66+7</f>
        <v>42743</v>
      </c>
      <c r="B67" s="20">
        <f>C66+F66-G66</f>
        <v>4925.7667719789661</v>
      </c>
      <c r="C67" s="17">
        <f>B67+(B67*-0.0311)</f>
        <v>4772.5754253704199</v>
      </c>
      <c r="D67" s="17">
        <f>B67/3250</f>
        <v>1.5156205452242972</v>
      </c>
      <c r="E67" s="37">
        <f>(C67-B67)/D67</f>
        <v>-101.0750000000002</v>
      </c>
      <c r="F67" s="26"/>
      <c r="G67" s="18"/>
      <c r="H67" s="19">
        <f>D67*50/B67</f>
        <v>1.5384615384615384E-2</v>
      </c>
      <c r="I67" s="18">
        <f>B67-(D67*1080)</f>
        <v>3288.896583136725</v>
      </c>
      <c r="J67" s="60">
        <v>7.0000000000000007E-2</v>
      </c>
      <c r="K67" s="61" t="s">
        <v>32</v>
      </c>
      <c r="L67" s="62">
        <v>-0.03</v>
      </c>
      <c r="M67" s="9"/>
      <c r="N67" s="31"/>
      <c r="O67" s="31"/>
    </row>
    <row r="68" spans="1:15" ht="13.5" thickBot="1">
      <c r="A68" s="13"/>
      <c r="B68" s="22"/>
      <c r="C68" s="23"/>
      <c r="D68" s="23"/>
      <c r="E68" s="44">
        <v>-450</v>
      </c>
      <c r="F68" s="30"/>
      <c r="G68" s="10"/>
      <c r="H68" s="24"/>
      <c r="I68" s="25"/>
      <c r="J68" s="45"/>
      <c r="K68" s="25"/>
      <c r="L68" s="45"/>
      <c r="M68" s="11"/>
    </row>
    <row r="69" spans="1:15" ht="15">
      <c r="A69" s="46">
        <f>A67+7</f>
        <v>42750</v>
      </c>
      <c r="B69" s="47">
        <f>C67+F67-G67</f>
        <v>4772.5754253704199</v>
      </c>
      <c r="C69" s="48">
        <f>B69+(B69*-0.02)</f>
        <v>4677.1239168630118</v>
      </c>
      <c r="D69" s="48">
        <f>B69/3000</f>
        <v>1.5908584751234733</v>
      </c>
      <c r="E69" s="37">
        <f>(C69-B69)/D69</f>
        <v>-59.999999999999815</v>
      </c>
      <c r="F69" s="18"/>
      <c r="G69" s="18">
        <v>3820</v>
      </c>
      <c r="H69" s="49">
        <f>D69*50/B69</f>
        <v>1.6666666666666666E-2</v>
      </c>
      <c r="I69" s="50">
        <f>B69-(D69*1080)</f>
        <v>3054.4482722370685</v>
      </c>
      <c r="J69" s="62">
        <v>-0.02</v>
      </c>
      <c r="K69" s="61" t="s">
        <v>0</v>
      </c>
      <c r="L69" s="62">
        <v>-0.02</v>
      </c>
      <c r="M69" s="53"/>
      <c r="N69" s="12" t="s">
        <v>37</v>
      </c>
    </row>
    <row r="70" spans="1:15">
      <c r="A70" s="15">
        <f>A69+7</f>
        <v>42757</v>
      </c>
      <c r="B70" s="20">
        <f>C69+F69-G69</f>
        <v>857.1239168630118</v>
      </c>
      <c r="C70" s="17">
        <f>B70+(B70*0.036)</f>
        <v>887.98037787008025</v>
      </c>
      <c r="D70" s="17">
        <f>B70/3000</f>
        <v>0.28570797228767059</v>
      </c>
      <c r="E70" s="34">
        <f>(C70-B70)/D70</f>
        <v>108.00000000000009</v>
      </c>
      <c r="F70" s="18"/>
      <c r="G70" s="18"/>
      <c r="H70" s="19">
        <f>D70*50/B70</f>
        <v>1.6666666666666666E-2</v>
      </c>
      <c r="I70" s="18">
        <f>B70-(D70*1080)</f>
        <v>548.55930679232756</v>
      </c>
      <c r="J70" s="60">
        <v>0.11</v>
      </c>
      <c r="K70" s="61" t="s">
        <v>32</v>
      </c>
      <c r="L70" s="60">
        <v>0.05</v>
      </c>
      <c r="M70" s="9"/>
      <c r="N70" s="31"/>
      <c r="O70" s="31"/>
    </row>
    <row r="71" spans="1:15">
      <c r="A71" s="15">
        <f>A70+7</f>
        <v>42764</v>
      </c>
      <c r="B71" s="20">
        <f>C70+F70-G70</f>
        <v>887.98037787008025</v>
      </c>
      <c r="C71" s="17">
        <f>B71+(B71*-0.0015)</f>
        <v>886.64840730327512</v>
      </c>
      <c r="D71" s="17">
        <f>B71/3000</f>
        <v>0.29599345929002674</v>
      </c>
      <c r="E71" s="28">
        <f>(C71-B71)/D71</f>
        <v>-4.5000000000000178</v>
      </c>
      <c r="F71" s="26"/>
      <c r="G71" s="18"/>
      <c r="H71" s="19">
        <f>D71*50/B71</f>
        <v>1.6666666666666666E-2</v>
      </c>
      <c r="I71" s="18">
        <f>B71-(D71*1080)</f>
        <v>568.30744183685135</v>
      </c>
      <c r="J71" s="60">
        <v>0.04</v>
      </c>
      <c r="K71" s="61" t="s">
        <v>33</v>
      </c>
      <c r="L71" s="62">
        <v>-0.01</v>
      </c>
      <c r="M71" s="9"/>
      <c r="N71" s="31"/>
      <c r="O71" s="31"/>
    </row>
    <row r="72" spans="1:15" ht="13.5" thickBot="1">
      <c r="A72" s="15">
        <f>A71+7</f>
        <v>42771</v>
      </c>
      <c r="B72" s="20">
        <f>C71+F71-G71</f>
        <v>886.64840730327512</v>
      </c>
      <c r="C72" s="17">
        <f>B72+(B72*-0.053)</f>
        <v>839.65604171620157</v>
      </c>
      <c r="D72" s="17">
        <f>B72/3000</f>
        <v>0.2955494691010917</v>
      </c>
      <c r="E72" s="28">
        <f>(C72-B72)/D72</f>
        <v>-158.99999999999989</v>
      </c>
      <c r="F72" s="26"/>
      <c r="G72" s="18"/>
      <c r="H72" s="19">
        <f>D72*50/B72</f>
        <v>1.6666666666666666E-2</v>
      </c>
      <c r="I72" s="18">
        <f>B72-(D72*1080)</f>
        <v>567.45498067409608</v>
      </c>
      <c r="J72" s="60">
        <v>0.1</v>
      </c>
      <c r="K72" s="61" t="s">
        <v>36</v>
      </c>
      <c r="L72" s="62">
        <v>-0.05</v>
      </c>
      <c r="M72" s="9"/>
      <c r="N72" s="31"/>
      <c r="O72" s="31"/>
    </row>
    <row r="73" spans="1:15" ht="13.5" thickBot="1">
      <c r="A73" s="13"/>
      <c r="B73" s="22"/>
      <c r="C73" s="23"/>
      <c r="D73" s="23"/>
      <c r="E73" s="44"/>
      <c r="F73" s="30"/>
      <c r="G73" s="10"/>
      <c r="H73" s="24"/>
      <c r="I73" s="25"/>
      <c r="J73" s="45"/>
      <c r="K73" s="25"/>
      <c r="L73" s="45"/>
      <c r="M73" s="11"/>
    </row>
    <row r="74" spans="1:15">
      <c r="A74" s="65">
        <f>A72+7</f>
        <v>42778</v>
      </c>
      <c r="B74" s="66">
        <f>C72+F72-G72</f>
        <v>839.65604171620157</v>
      </c>
      <c r="C74" s="67">
        <f>B74+(B74*0.05)</f>
        <v>881.63884380201171</v>
      </c>
      <c r="D74" s="67">
        <f>B74/3000</f>
        <v>0.27988534723873387</v>
      </c>
      <c r="E74" s="72">
        <f>(C74-B74)/D74</f>
        <v>150.0000000000002</v>
      </c>
      <c r="F74" s="68">
        <v>700</v>
      </c>
      <c r="G74" s="69"/>
      <c r="H74" s="70">
        <f>D74*50/B74</f>
        <v>1.6666666666666666E-2</v>
      </c>
      <c r="I74" s="69">
        <f>B74-(D74*1080)</f>
        <v>537.37986669836891</v>
      </c>
      <c r="J74" s="43"/>
      <c r="K74" s="61" t="s">
        <v>33</v>
      </c>
      <c r="L74" s="60">
        <v>0.05</v>
      </c>
      <c r="M74" s="71"/>
      <c r="N74" s="41" t="s">
        <v>38</v>
      </c>
      <c r="O74" s="31"/>
    </row>
    <row r="75" spans="1:15">
      <c r="A75" s="15">
        <f>A74+7</f>
        <v>42785</v>
      </c>
      <c r="B75" s="20">
        <f>C74+F74-G74</f>
        <v>1581.6388438020117</v>
      </c>
      <c r="C75" s="17">
        <f>B75+(B75*0.05)</f>
        <v>1660.7207859921123</v>
      </c>
      <c r="D75" s="17">
        <f>B75/3000</f>
        <v>0.52721294793400386</v>
      </c>
      <c r="E75" s="34">
        <f>(C75-B75)/D75</f>
        <v>149.99999999999997</v>
      </c>
      <c r="F75" s="18"/>
      <c r="G75" s="18"/>
      <c r="H75" s="19">
        <f>D75*50/B75</f>
        <v>1.6666666666666666E-2</v>
      </c>
      <c r="I75" s="18">
        <f>B75-(D75*1080)</f>
        <v>1012.2488600332875</v>
      </c>
      <c r="J75" s="43"/>
      <c r="K75" s="61" t="s">
        <v>0</v>
      </c>
      <c r="L75" s="60">
        <v>0.05</v>
      </c>
      <c r="M75" s="9"/>
      <c r="N75" s="31"/>
      <c r="O75" s="31"/>
    </row>
    <row r="76" spans="1:15">
      <c r="A76" s="15">
        <f>A75+7</f>
        <v>42792</v>
      </c>
      <c r="B76" s="20">
        <f>C75+F75-G75</f>
        <v>1660.7207859921123</v>
      </c>
      <c r="C76" s="17">
        <f>B76+(B76*-0.31)</f>
        <v>1145.8973423345574</v>
      </c>
      <c r="D76" s="17">
        <f>B76/3000</f>
        <v>0.55357359533070405</v>
      </c>
      <c r="E76" s="37">
        <f>(C76-B76)/D76</f>
        <v>-930.00000000000023</v>
      </c>
      <c r="F76" s="26"/>
      <c r="G76" s="18"/>
      <c r="H76" s="19">
        <f>D76*50/B76</f>
        <v>1.6666666666666666E-2</v>
      </c>
      <c r="I76" s="18">
        <f>B76-(D76*1080)</f>
        <v>1062.861303034952</v>
      </c>
      <c r="J76" s="43"/>
      <c r="K76" s="61" t="s">
        <v>36</v>
      </c>
      <c r="L76" s="62">
        <v>-0.31</v>
      </c>
      <c r="M76" s="9"/>
      <c r="N76" s="31"/>
      <c r="O76" s="31"/>
    </row>
    <row r="77" spans="1:15" ht="13.5" thickBot="1">
      <c r="A77" s="15">
        <f>A76+7</f>
        <v>42799</v>
      </c>
      <c r="B77" s="20">
        <f>C76+F76-G76</f>
        <v>1145.8973423345574</v>
      </c>
      <c r="C77" s="17">
        <f>B77+(B77*-0.05)</f>
        <v>1088.6024752178296</v>
      </c>
      <c r="D77" s="17">
        <f>B77/2500</f>
        <v>0.45835893693382296</v>
      </c>
      <c r="E77" s="37">
        <f>(C77-B77)/D77</f>
        <v>-124.99999999999984</v>
      </c>
      <c r="F77" s="26">
        <v>250</v>
      </c>
      <c r="G77" s="18"/>
      <c r="H77" s="19">
        <f>D77*50/B77</f>
        <v>0.02</v>
      </c>
      <c r="I77" s="18">
        <f>B77-(D77*1080)</f>
        <v>650.86969044602859</v>
      </c>
      <c r="J77" s="43"/>
      <c r="K77" s="61" t="s">
        <v>36</v>
      </c>
      <c r="L77" s="62">
        <v>-0.05</v>
      </c>
      <c r="M77" s="9"/>
      <c r="N77" s="73"/>
      <c r="O77" s="31"/>
    </row>
    <row r="78" spans="1:15" ht="13.5" thickBot="1">
      <c r="A78" s="13"/>
      <c r="B78" s="22"/>
      <c r="C78" s="23"/>
      <c r="D78" s="23"/>
      <c r="E78" s="27"/>
      <c r="F78" s="30"/>
      <c r="G78" s="10"/>
      <c r="H78" s="24"/>
      <c r="I78" s="25"/>
      <c r="J78" s="45"/>
      <c r="K78" s="25"/>
      <c r="L78" s="45"/>
      <c r="M78" s="11"/>
    </row>
    <row r="79" spans="1:15">
      <c r="A79" s="15">
        <f>A77+7</f>
        <v>42806</v>
      </c>
      <c r="B79" s="20">
        <f>C77+F77-G77</f>
        <v>1338.6024752178296</v>
      </c>
      <c r="C79" s="17">
        <f>B79+(B79*0.108)</f>
        <v>1483.1715425413552</v>
      </c>
      <c r="D79" s="17">
        <f>B79/2500</f>
        <v>0.53544099008713186</v>
      </c>
      <c r="E79" s="34">
        <f>(C79-B79)/D79</f>
        <v>269.99999999999994</v>
      </c>
      <c r="F79" s="18">
        <v>250</v>
      </c>
      <c r="G79" s="18"/>
      <c r="H79" s="19">
        <f>D79*50/B79</f>
        <v>2.0000000000000004E-2</v>
      </c>
      <c r="I79" s="18">
        <f>B79-(D79*1080)</f>
        <v>760.32620592372712</v>
      </c>
      <c r="J79" s="43"/>
      <c r="K79" s="18"/>
      <c r="L79" s="43"/>
      <c r="M79" s="9"/>
      <c r="N79" s="74" t="s">
        <v>39</v>
      </c>
    </row>
    <row r="80" spans="1:15">
      <c r="A80" s="15">
        <f>A79+7</f>
        <v>42813</v>
      </c>
      <c r="B80" s="20">
        <f>C79+F79-G79</f>
        <v>1733.1715425413552</v>
      </c>
      <c r="C80" s="17">
        <f>B80+(B80*0.05)</f>
        <v>1819.8301196684229</v>
      </c>
      <c r="D80" s="17">
        <f>B80/2500</f>
        <v>0.69326861701654208</v>
      </c>
      <c r="E80" s="34">
        <f>(C80-B80)/D80</f>
        <v>124.99999999999991</v>
      </c>
      <c r="F80" s="18"/>
      <c r="G80" s="18"/>
      <c r="H80" s="19">
        <f>D80*50/B80</f>
        <v>0.02</v>
      </c>
      <c r="I80" s="18">
        <f>B80-(D80*1080)</f>
        <v>984.4414361634897</v>
      </c>
      <c r="J80" s="43"/>
      <c r="K80" s="18"/>
      <c r="L80" s="43"/>
      <c r="M80" s="9"/>
      <c r="N80" s="31"/>
      <c r="O80" s="31"/>
    </row>
    <row r="81" spans="1:15">
      <c r="A81" s="15">
        <f>A80+7</f>
        <v>42820</v>
      </c>
      <c r="B81" s="20">
        <f>C80+F80-G80</f>
        <v>1819.8301196684229</v>
      </c>
      <c r="C81" s="17">
        <f>B81+(B81*0.01)</f>
        <v>1838.0284208651071</v>
      </c>
      <c r="D81" s="17">
        <f>B81/2500</f>
        <v>0.72793204786736909</v>
      </c>
      <c r="E81" s="34">
        <f>(C81-B81)/D81</f>
        <v>25.000000000000057</v>
      </c>
      <c r="F81" s="26"/>
      <c r="G81" s="18"/>
      <c r="H81" s="19">
        <f>D81*50/B81</f>
        <v>1.9999999999999997E-2</v>
      </c>
      <c r="I81" s="18">
        <f>B81-(D81*1080)</f>
        <v>1033.6635079716643</v>
      </c>
      <c r="J81" s="43"/>
      <c r="K81" s="18"/>
      <c r="L81" s="43"/>
      <c r="M81" s="9"/>
      <c r="N81" s="31"/>
      <c r="O81" s="31"/>
    </row>
    <row r="82" spans="1:15" ht="13.5" thickBot="1">
      <c r="A82" s="15">
        <f>A81+7</f>
        <v>42827</v>
      </c>
      <c r="B82" s="20">
        <f>C81+F81-G81</f>
        <v>1838.0284208651071</v>
      </c>
      <c r="C82" s="17">
        <f>B82+(B82*-0.17042)</f>
        <v>1524.7916173812755</v>
      </c>
      <c r="D82" s="17">
        <f>B82/2500</f>
        <v>0.73521136834604284</v>
      </c>
      <c r="E82" s="35">
        <f>(C82-B82)/D82</f>
        <v>-426.05000000000013</v>
      </c>
      <c r="F82" s="26"/>
      <c r="G82" s="18"/>
      <c r="H82" s="19">
        <f>D82*50/B82</f>
        <v>1.9999999999999997E-2</v>
      </c>
      <c r="I82" s="18">
        <f>B82-(D82*1080)</f>
        <v>1044.0001430513807</v>
      </c>
      <c r="J82" s="43"/>
      <c r="K82" s="18"/>
      <c r="L82" s="43"/>
      <c r="M82" s="9"/>
      <c r="N82" s="31"/>
      <c r="O82" s="31"/>
    </row>
    <row r="83" spans="1:15" ht="13.5" thickBot="1">
      <c r="A83" s="13"/>
      <c r="B83" s="22"/>
      <c r="C83" s="23"/>
      <c r="D83" s="23"/>
      <c r="E83" s="27"/>
      <c r="F83" s="30"/>
      <c r="G83" s="10"/>
      <c r="H83" s="24"/>
      <c r="I83" s="25"/>
      <c r="J83" s="45"/>
      <c r="K83" s="25"/>
      <c r="L83" s="45"/>
      <c r="M83" s="11"/>
    </row>
    <row r="84" spans="1:15">
      <c r="A84" s="15">
        <f>A82+7</f>
        <v>42834</v>
      </c>
      <c r="B84" s="20">
        <f>C82+F82-G82</f>
        <v>1524.7916173812755</v>
      </c>
      <c r="C84" s="17">
        <f>B84+(B84*0.115)</f>
        <v>1700.1426533801223</v>
      </c>
      <c r="D84" s="17">
        <f>B84/2500</f>
        <v>0.60991664695251024</v>
      </c>
      <c r="E84" s="34">
        <f>(C84-B84)/D84</f>
        <v>287.50000000000017</v>
      </c>
      <c r="F84" s="18"/>
      <c r="G84" s="18"/>
      <c r="H84" s="19">
        <f>D84*50/B84</f>
        <v>0.02</v>
      </c>
      <c r="I84" s="18">
        <f>B84-(D84*1080)</f>
        <v>866.0816386725644</v>
      </c>
      <c r="J84" s="43"/>
      <c r="K84" s="18"/>
      <c r="L84" s="43"/>
      <c r="M84" s="9"/>
      <c r="N84" s="74" t="s">
        <v>40</v>
      </c>
    </row>
    <row r="85" spans="1:15">
      <c r="A85" s="15">
        <f>A84+7</f>
        <v>42841</v>
      </c>
      <c r="B85" s="20">
        <f>C84+F84-G84</f>
        <v>1700.1426533801223</v>
      </c>
      <c r="C85" s="17">
        <f>B85+(B85*0.025)</f>
        <v>1742.6462197146254</v>
      </c>
      <c r="D85" s="17">
        <f>B85/2500</f>
        <v>0.68005706135204891</v>
      </c>
      <c r="E85" s="34">
        <f>(C85-B85)/D85</f>
        <v>62.500000000000135</v>
      </c>
      <c r="F85" s="18"/>
      <c r="G85" s="18"/>
      <c r="H85" s="19">
        <f>D85*50/B85</f>
        <v>0.02</v>
      </c>
      <c r="I85" s="18">
        <f>B85-(D85*1080)</f>
        <v>965.68102711990946</v>
      </c>
      <c r="J85" s="43"/>
      <c r="K85" s="18"/>
      <c r="L85" s="43"/>
      <c r="M85" s="9"/>
      <c r="N85" s="31"/>
      <c r="O85" s="31"/>
    </row>
    <row r="86" spans="1:15">
      <c r="A86" s="15">
        <f>A85+7</f>
        <v>42848</v>
      </c>
      <c r="B86" s="20">
        <f>C85+F85-G85</f>
        <v>1742.6462197146254</v>
      </c>
      <c r="C86" s="17">
        <f>B86+(B86*0.07251)</f>
        <v>1869.0054971061329</v>
      </c>
      <c r="D86" s="17">
        <f>B86/2500</f>
        <v>0.69705848788585012</v>
      </c>
      <c r="E86" s="34">
        <f>(C86-B86)/D86</f>
        <v>181.27500000000001</v>
      </c>
      <c r="F86" s="26"/>
      <c r="G86" s="18"/>
      <c r="H86" s="19">
        <f>D86*50/B86</f>
        <v>0.02</v>
      </c>
      <c r="I86" s="18">
        <f>B86-(D86*1080)</f>
        <v>989.82305279790728</v>
      </c>
      <c r="J86" s="43"/>
      <c r="K86" s="18"/>
      <c r="L86" s="43"/>
      <c r="M86" s="9"/>
      <c r="N86" s="31"/>
      <c r="O86" s="31"/>
    </row>
    <row r="87" spans="1:15" ht="13.5" thickBot="1">
      <c r="A87" s="15">
        <f>A86+7</f>
        <v>42855</v>
      </c>
      <c r="B87" s="20">
        <f>C86+F86-G86</f>
        <v>1869.0054971061329</v>
      </c>
      <c r="C87" s="17">
        <f>B87+(B87*0)</f>
        <v>1869.0054971061329</v>
      </c>
      <c r="D87" s="17">
        <f>B87/2500</f>
        <v>0.74760219884245316</v>
      </c>
      <c r="E87" s="34">
        <f>(C87-B87)/D87</f>
        <v>0</v>
      </c>
      <c r="F87" s="26"/>
      <c r="G87" s="18"/>
      <c r="H87" s="19">
        <f>D87*50/B87</f>
        <v>0.02</v>
      </c>
      <c r="I87" s="18">
        <f>B87-(D87*1080)</f>
        <v>1061.5951223562834</v>
      </c>
      <c r="J87" s="43"/>
      <c r="K87" s="18"/>
      <c r="L87" s="43"/>
      <c r="M87" s="9"/>
      <c r="N87" s="31"/>
      <c r="O87" s="31"/>
    </row>
    <row r="88" spans="1:15" ht="13.5" thickBot="1">
      <c r="A88" s="13"/>
      <c r="B88" s="22"/>
      <c r="C88" s="23"/>
      <c r="D88" s="23"/>
      <c r="E88" s="27"/>
      <c r="F88" s="30"/>
      <c r="G88" s="10"/>
      <c r="H88" s="24"/>
      <c r="I88" s="25"/>
      <c r="J88" s="45"/>
      <c r="K88" s="25"/>
      <c r="L88" s="45"/>
      <c r="M88" s="11"/>
    </row>
    <row r="89" spans="1:15">
      <c r="A89" s="15">
        <f>A87+7</f>
        <v>42862</v>
      </c>
      <c r="B89" s="20">
        <f>C87+F87-G87</f>
        <v>1869.0054971061329</v>
      </c>
      <c r="C89" s="17">
        <f>B89+(B89*0.034)</f>
        <v>1932.5516840077414</v>
      </c>
      <c r="D89" s="17">
        <f>B89/2500</f>
        <v>0.74760219884245316</v>
      </c>
      <c r="E89" s="34">
        <f>(C89-B89)/D89</f>
        <v>84.999999999999986</v>
      </c>
      <c r="F89" s="18"/>
      <c r="G89" s="18"/>
      <c r="H89" s="19">
        <f>D89*50/B89</f>
        <v>0.02</v>
      </c>
      <c r="I89" s="18">
        <f>B89-(D89*1080)</f>
        <v>1061.5951223562834</v>
      </c>
      <c r="J89" s="43"/>
      <c r="K89" s="18"/>
      <c r="L89" s="43"/>
      <c r="M89" s="9"/>
    </row>
    <row r="90" spans="1:15">
      <c r="A90" s="15">
        <f>A89+7</f>
        <v>42869</v>
      </c>
      <c r="B90" s="20">
        <f>C89+F89-G89</f>
        <v>1932.5516840077414</v>
      </c>
      <c r="C90" s="17">
        <f>B90+(B90*0.024)</f>
        <v>1978.9329244239273</v>
      </c>
      <c r="D90" s="17">
        <f>B90/2500</f>
        <v>0.77302067360309656</v>
      </c>
      <c r="E90" s="34">
        <f>(C90-B90)/D90</f>
        <v>60.000000000000071</v>
      </c>
      <c r="F90" s="18"/>
      <c r="G90" s="18"/>
      <c r="H90" s="19">
        <f>D90*50/B90</f>
        <v>1.9999999999999997E-2</v>
      </c>
      <c r="I90" s="18">
        <f>B90-(D90*1080)</f>
        <v>1097.6893565163971</v>
      </c>
      <c r="J90" s="43"/>
      <c r="K90" s="18"/>
      <c r="L90" s="43"/>
      <c r="M90" s="9"/>
      <c r="N90" s="31"/>
      <c r="O90" s="31"/>
    </row>
    <row r="91" spans="1:15" ht="13.5" thickBot="1">
      <c r="A91" s="15">
        <f>A90+7</f>
        <v>42876</v>
      </c>
      <c r="B91" s="20">
        <f>C90+F90-G90</f>
        <v>1978.9329244239273</v>
      </c>
      <c r="C91" s="17">
        <f>B91+(B91*0.054)</f>
        <v>2085.7953023428195</v>
      </c>
      <c r="D91" s="17">
        <f>B91/2500</f>
        <v>0.79157316976957093</v>
      </c>
      <c r="E91" s="34">
        <f>(C91-B91)/D91</f>
        <v>135.00000000000017</v>
      </c>
      <c r="F91" s="18"/>
      <c r="G91" s="81">
        <v>785</v>
      </c>
      <c r="H91" s="19">
        <f>D91*50/B91</f>
        <v>0.02</v>
      </c>
      <c r="I91" s="18">
        <f>B91-(D91*1080)</f>
        <v>1124.0339010727907</v>
      </c>
      <c r="J91" s="43"/>
      <c r="K91" s="18"/>
      <c r="L91" s="43"/>
      <c r="M91" s="9"/>
      <c r="N91" s="31"/>
      <c r="O91" s="31"/>
    </row>
    <row r="92" spans="1:15" ht="13.5" thickBot="1">
      <c r="A92" s="13"/>
      <c r="B92" s="22"/>
      <c r="C92" s="23"/>
      <c r="D92" s="23"/>
      <c r="E92" s="27"/>
      <c r="F92" s="30"/>
      <c r="G92" s="10"/>
      <c r="H92" s="24"/>
      <c r="I92" s="25"/>
      <c r="J92" s="45"/>
      <c r="K92" s="25"/>
      <c r="L92" s="45"/>
      <c r="M92" s="11"/>
    </row>
    <row r="93" spans="1:15">
      <c r="A93" s="15">
        <f>A91+7</f>
        <v>42883</v>
      </c>
      <c r="B93" s="20">
        <f>C91+F91-G91</f>
        <v>1300.7953023428195</v>
      </c>
      <c r="C93" s="17">
        <f>B93+(B93*0.035)</f>
        <v>1346.3231379248182</v>
      </c>
      <c r="D93" s="17">
        <f>B93/3250</f>
        <v>0.40024470841317522</v>
      </c>
      <c r="E93" s="34">
        <f>(C93-B93)/D93</f>
        <v>113.75000000000009</v>
      </c>
      <c r="F93" s="26"/>
      <c r="G93" s="18"/>
      <c r="H93" s="19">
        <f>D93*50/B93</f>
        <v>1.5384615384615385E-2</v>
      </c>
      <c r="I93" s="18">
        <f>B93-(D93*1080)</f>
        <v>868.5310172565903</v>
      </c>
      <c r="J93" s="43"/>
      <c r="K93" s="18"/>
      <c r="L93" s="43"/>
      <c r="M93" s="9"/>
      <c r="N93" s="31"/>
      <c r="O93" s="31"/>
    </row>
    <row r="94" spans="1:15">
      <c r="A94" s="15">
        <f>A93+7</f>
        <v>42890</v>
      </c>
      <c r="B94" s="20">
        <f>C93+F93-G93</f>
        <v>1346.3231379248182</v>
      </c>
      <c r="C94" s="17">
        <f>B94+(B94*0.1312)</f>
        <v>1522.9607336205543</v>
      </c>
      <c r="D94" s="17">
        <f>B94/3250</f>
        <v>0.41425327320763639</v>
      </c>
      <c r="E94" s="34">
        <f>(C94-B94)/D94</f>
        <v>426.39999999999981</v>
      </c>
      <c r="F94" s="18"/>
      <c r="G94" s="18"/>
      <c r="H94" s="19">
        <f>D94*50/B94</f>
        <v>1.5384615384615384E-2</v>
      </c>
      <c r="I94" s="18">
        <f>B94-(D94*1080)</f>
        <v>898.92960286057087</v>
      </c>
      <c r="J94" s="43"/>
      <c r="K94" s="18"/>
      <c r="L94" s="43"/>
      <c r="M94" s="9"/>
    </row>
    <row r="95" spans="1:15">
      <c r="A95" s="15">
        <f>A94+7</f>
        <v>42897</v>
      </c>
      <c r="B95" s="20">
        <f>C94+F94-G94</f>
        <v>1522.9607336205543</v>
      </c>
      <c r="C95" s="17">
        <f>B95+(B95*0.014)</f>
        <v>1544.2821838912421</v>
      </c>
      <c r="D95" s="17">
        <f>B95/3250</f>
        <v>0.46860330265247824</v>
      </c>
      <c r="E95" s="34">
        <f>(C95-B95)/D95</f>
        <v>45.500000000000128</v>
      </c>
      <c r="F95" s="18"/>
      <c r="G95" s="18"/>
      <c r="H95" s="19">
        <f>D95*50/B95</f>
        <v>1.5384615384615385E-2</v>
      </c>
      <c r="I95" s="18">
        <f>B95-(D95*1080)</f>
        <v>1016.8691667558778</v>
      </c>
      <c r="J95" s="43"/>
      <c r="K95" s="18"/>
      <c r="L95" s="43"/>
      <c r="M95" s="9"/>
      <c r="N95" s="31"/>
      <c r="O95" s="31"/>
    </row>
    <row r="96" spans="1:15" ht="13.5" thickBot="1">
      <c r="A96" s="15">
        <f>A95+7</f>
        <v>42904</v>
      </c>
      <c r="B96" s="20">
        <f>C95+F95-G95</f>
        <v>1544.2821838912421</v>
      </c>
      <c r="C96" s="17">
        <f>B96+(B96*0)</f>
        <v>1544.2821838912421</v>
      </c>
      <c r="D96" s="17">
        <f>B96/3250</f>
        <v>0.47516374888961294</v>
      </c>
      <c r="E96" s="34">
        <f>(C96-B96)/D96</f>
        <v>0</v>
      </c>
      <c r="F96" s="18"/>
      <c r="G96" s="18"/>
      <c r="H96" s="19">
        <f>D96*50/B96</f>
        <v>1.5384615384615384E-2</v>
      </c>
      <c r="I96" s="18">
        <f>B96-(D96*1080)</f>
        <v>1031.1053350904601</v>
      </c>
      <c r="J96" s="43"/>
      <c r="K96" s="18"/>
      <c r="L96" s="43"/>
      <c r="M96" s="9"/>
      <c r="N96" s="31"/>
      <c r="O96" s="31"/>
    </row>
    <row r="97" spans="1:15" ht="13.5" thickBot="1">
      <c r="A97" s="13"/>
      <c r="B97" s="22"/>
      <c r="C97" s="23"/>
      <c r="D97" s="23"/>
      <c r="E97" s="27"/>
      <c r="F97" s="30"/>
      <c r="G97" s="10"/>
      <c r="H97" s="24"/>
      <c r="I97" s="25"/>
      <c r="J97" s="45"/>
      <c r="K97" s="25"/>
      <c r="L97" s="45"/>
      <c r="M97" s="11"/>
    </row>
    <row r="98" spans="1:15">
      <c r="A98" s="15">
        <f>A96+7</f>
        <v>42911</v>
      </c>
      <c r="B98" s="20">
        <f>C96+F96-G96</f>
        <v>1544.2821838912421</v>
      </c>
      <c r="C98" s="17">
        <f>B98+(B98*0.015)</f>
        <v>1567.4464166496107</v>
      </c>
      <c r="D98" s="17">
        <f>B98/3250</f>
        <v>0.47516374888961294</v>
      </c>
      <c r="E98" s="34">
        <f>(C98-B98)/D98</f>
        <v>48.749999999999929</v>
      </c>
      <c r="F98" s="26"/>
      <c r="G98" s="18"/>
      <c r="H98" s="19">
        <f>D98*50/B98</f>
        <v>1.5384615384615384E-2</v>
      </c>
      <c r="I98" s="18">
        <f>B98-(D98*1080)</f>
        <v>1031.1053350904601</v>
      </c>
      <c r="J98" s="43"/>
      <c r="K98" s="18"/>
      <c r="L98" s="43"/>
      <c r="M98" s="9"/>
      <c r="N98" s="31"/>
      <c r="O98" s="31"/>
    </row>
    <row r="99" spans="1:15" s="1" customFormat="1">
      <c r="A99" s="15">
        <f>A98+7</f>
        <v>42918</v>
      </c>
      <c r="B99" s="20">
        <f>C98+F98-G98</f>
        <v>1567.4464166496107</v>
      </c>
      <c r="C99" s="17">
        <f>B99+(B99*0.054)</f>
        <v>1652.0885231486895</v>
      </c>
      <c r="D99" s="17">
        <f>B99/3250</f>
        <v>0.48229120512295715</v>
      </c>
      <c r="E99" s="34">
        <f>(C99-B99)/D99</f>
        <v>175.49999999999977</v>
      </c>
      <c r="F99" s="18"/>
      <c r="G99" s="18"/>
      <c r="H99" s="19">
        <f>D99*50/B99</f>
        <v>1.5384615384615385E-2</v>
      </c>
      <c r="I99" s="18">
        <f>B99-(D99*1080)</f>
        <v>1046.5719151168169</v>
      </c>
      <c r="J99" s="43"/>
      <c r="K99" s="18"/>
      <c r="L99" s="43"/>
      <c r="M99" s="9"/>
    </row>
    <row r="100" spans="1:15" s="1" customFormat="1">
      <c r="A100" s="15">
        <f>A99+7</f>
        <v>42925</v>
      </c>
      <c r="B100" s="20">
        <f>C99+F99-G99</f>
        <v>1652.0885231486895</v>
      </c>
      <c r="C100" s="17">
        <f>B100+(B100*0.0483)</f>
        <v>1731.8843988167712</v>
      </c>
      <c r="D100" s="17">
        <f>B100/3250</f>
        <v>0.50833493019959675</v>
      </c>
      <c r="E100" s="34">
        <f>(C100-B100)/D100</f>
        <v>156.97499999999988</v>
      </c>
      <c r="F100" s="18"/>
      <c r="G100" s="18"/>
      <c r="H100" s="19">
        <f>D100*50/B100</f>
        <v>1.5384615384615384E-2</v>
      </c>
      <c r="I100" s="18">
        <f>B100-(D100*1080)</f>
        <v>1103.0867985331251</v>
      </c>
      <c r="J100" s="43"/>
      <c r="K100" s="18"/>
      <c r="L100" s="43"/>
      <c r="M100" s="9"/>
      <c r="N100" s="31"/>
      <c r="O100" s="31"/>
    </row>
    <row r="101" spans="1:15" s="1" customFormat="1" ht="13.5" thickBot="1">
      <c r="A101" s="15">
        <f>A100+7</f>
        <v>42932</v>
      </c>
      <c r="B101" s="20">
        <f>C100+F100-G100</f>
        <v>1731.8843988167712</v>
      </c>
      <c r="C101" s="17">
        <f>B101+(B101*-0.074)</f>
        <v>1603.72495330433</v>
      </c>
      <c r="D101" s="17">
        <f>B101/3250</f>
        <v>0.53288750732823731</v>
      </c>
      <c r="E101" s="34">
        <f>(C101-B101)/D101</f>
        <v>-240.50000000000014</v>
      </c>
      <c r="F101" s="18"/>
      <c r="G101" s="18"/>
      <c r="H101" s="19">
        <f>D101*50/B101</f>
        <v>1.5384615384615385E-2</v>
      </c>
      <c r="I101" s="18">
        <f>B101-(D101*1080)</f>
        <v>1156.3658909022749</v>
      </c>
      <c r="J101" s="43"/>
      <c r="K101" s="18"/>
      <c r="L101" s="43"/>
      <c r="M101" s="9"/>
      <c r="N101" s="31"/>
      <c r="O101" s="31"/>
    </row>
    <row r="102" spans="1:15" ht="13.5" thickBot="1">
      <c r="A102" s="13"/>
      <c r="B102" s="22"/>
      <c r="C102" s="23"/>
      <c r="D102" s="23"/>
      <c r="E102" s="27"/>
      <c r="F102" s="30"/>
      <c r="G102" s="10"/>
      <c r="H102" s="24"/>
      <c r="I102" s="25"/>
      <c r="J102" s="45"/>
      <c r="K102" s="25"/>
      <c r="L102" s="45"/>
      <c r="M102" s="11"/>
    </row>
    <row r="103" spans="1:15" s="1" customFormat="1">
      <c r="A103" s="15">
        <f>A101+7</f>
        <v>42939</v>
      </c>
      <c r="B103" s="20">
        <f>C101+F101-G101</f>
        <v>1603.72495330433</v>
      </c>
      <c r="C103" s="17">
        <f>B103+(B103*0.0427)</f>
        <v>1672.204008810425</v>
      </c>
      <c r="D103" s="17">
        <f>B103/3250</f>
        <v>0.49345383178594771</v>
      </c>
      <c r="E103" s="34">
        <f>(C103-B103)/D103</f>
        <v>138.77500000000009</v>
      </c>
      <c r="F103" s="26"/>
      <c r="G103" s="18"/>
      <c r="H103" s="19">
        <f>D103*50/B103</f>
        <v>1.5384615384615385E-2</v>
      </c>
      <c r="I103" s="18">
        <f>B103-(D103*1080)</f>
        <v>1070.7948149755066</v>
      </c>
      <c r="J103" s="43"/>
      <c r="K103" s="18"/>
      <c r="L103" s="43"/>
      <c r="M103" s="9"/>
      <c r="N103" s="31"/>
      <c r="O103" s="31"/>
    </row>
    <row r="104" spans="1:15" s="1" customFormat="1" ht="15">
      <c r="A104" s="15">
        <f>A103+7</f>
        <v>42946</v>
      </c>
      <c r="B104" s="32">
        <f>C103+F103-G103</f>
        <v>1672.204008810425</v>
      </c>
      <c r="C104" s="17">
        <f>B104+(B104*0.04)</f>
        <v>1739.0921691628419</v>
      </c>
      <c r="D104" s="17">
        <f>B104/3250</f>
        <v>0.51452431040320767</v>
      </c>
      <c r="E104" s="28">
        <f>(C104-B104)/D104</f>
        <v>129.9999999999998</v>
      </c>
      <c r="F104" s="18"/>
      <c r="G104" s="18"/>
      <c r="H104" s="19">
        <f>D104*50/B104</f>
        <v>1.5384615384615384E-2</v>
      </c>
      <c r="I104" s="18">
        <f>B104-(D104*1080)</f>
        <v>1116.5177535749608</v>
      </c>
      <c r="J104" s="43"/>
      <c r="K104" s="18"/>
      <c r="L104" s="43"/>
      <c r="M104" s="9"/>
    </row>
    <row r="105" spans="1:15" s="1" customFormat="1">
      <c r="A105" s="15">
        <f>A104+7</f>
        <v>42953</v>
      </c>
      <c r="B105" s="20">
        <f>C104+F104-G104</f>
        <v>1739.0921691628419</v>
      </c>
      <c r="C105" s="17">
        <f>B105+(B105*0.04)</f>
        <v>1808.6558559293555</v>
      </c>
      <c r="D105" s="17">
        <f>B105/3250</f>
        <v>0.535105282819336</v>
      </c>
      <c r="E105" s="28">
        <f>(C105-B105)/D105</f>
        <v>130</v>
      </c>
      <c r="F105" s="18"/>
      <c r="G105" s="18"/>
      <c r="H105" s="19">
        <f>D105*50/B105</f>
        <v>1.5384615384615387E-2</v>
      </c>
      <c r="I105" s="18">
        <f>B105-(D105*1080)</f>
        <v>1161.1784637179589</v>
      </c>
      <c r="J105" s="43"/>
      <c r="K105" s="18"/>
      <c r="L105" s="43"/>
      <c r="M105" s="9"/>
    </row>
    <row r="106" spans="1:15" s="1" customFormat="1" ht="13.5" thickBot="1">
      <c r="A106" s="15">
        <f>A105+7</f>
        <v>42960</v>
      </c>
      <c r="B106" s="20">
        <f>C105+F105-G105</f>
        <v>1808.6558559293555</v>
      </c>
      <c r="C106" s="17">
        <f>B106+(B106*0.04)</f>
        <v>1881.0020901665298</v>
      </c>
      <c r="D106" s="17">
        <f>B106/3250</f>
        <v>0.55650949413210937</v>
      </c>
      <c r="E106" s="28">
        <f>(C106-B106)/D106</f>
        <v>130.00000000000006</v>
      </c>
      <c r="F106" s="18"/>
      <c r="G106" s="18"/>
      <c r="H106" s="19">
        <f>D106*50/B106</f>
        <v>1.5384615384615384E-2</v>
      </c>
      <c r="I106" s="18">
        <f>B106-(D106*1080)</f>
        <v>1207.6256022666776</v>
      </c>
      <c r="J106" s="43"/>
      <c r="K106" s="18"/>
      <c r="L106" s="43"/>
      <c r="M106" s="9"/>
    </row>
    <row r="107" spans="1:15" ht="13.5" thickBot="1">
      <c r="A107" s="13"/>
      <c r="B107" s="22"/>
      <c r="C107" s="23"/>
      <c r="D107" s="23"/>
      <c r="E107" s="27"/>
      <c r="F107" s="30"/>
      <c r="G107" s="10"/>
      <c r="H107" s="24"/>
      <c r="I107" s="25"/>
      <c r="J107" s="45"/>
      <c r="K107" s="25"/>
      <c r="L107" s="45"/>
      <c r="M107" s="11"/>
    </row>
    <row r="108" spans="1:15" s="1" customFormat="1">
      <c r="A108" s="15">
        <f>A106+7</f>
        <v>42967</v>
      </c>
      <c r="B108" s="20">
        <f>C106+F106-G106</f>
        <v>1881.0020901665298</v>
      </c>
      <c r="C108" s="17">
        <f>B108+(B108*0.04)</f>
        <v>1956.2421737731911</v>
      </c>
      <c r="D108" s="17">
        <f>B108/3250</f>
        <v>0.57876987389739376</v>
      </c>
      <c r="E108" s="28">
        <f>(C108-B108)/D108</f>
        <v>130.0000000000002</v>
      </c>
      <c r="F108" s="26"/>
      <c r="G108" s="18"/>
      <c r="H108" s="19">
        <f>D108*50/B108</f>
        <v>1.5384615384615384E-2</v>
      </c>
      <c r="I108" s="18">
        <f>B108-(D108*1080)</f>
        <v>1255.9306263573444</v>
      </c>
      <c r="J108" s="43"/>
      <c r="K108" s="18"/>
      <c r="L108" s="43"/>
      <c r="M108" s="9"/>
    </row>
    <row r="109" spans="1:15" s="1" customFormat="1">
      <c r="A109" s="15">
        <f>A108+7</f>
        <v>42974</v>
      </c>
      <c r="B109" s="20">
        <f>C108+F108-G108</f>
        <v>1956.2421737731911</v>
      </c>
      <c r="C109" s="17">
        <f>B109+(B109*0.04)</f>
        <v>2034.4918607241189</v>
      </c>
      <c r="D109" s="17">
        <f>B109/3250</f>
        <v>0.60192066885328954</v>
      </c>
      <c r="E109" s="28">
        <f>(C109-B109)/D109</f>
        <v>130.0000000000002</v>
      </c>
      <c r="F109" s="18"/>
      <c r="G109" s="18"/>
      <c r="H109" s="19">
        <f>D109*50/B109</f>
        <v>1.5384615384615384E-2</v>
      </c>
      <c r="I109" s="18">
        <f>B109-(D109*1080)</f>
        <v>1306.1678514116384</v>
      </c>
      <c r="J109" s="43"/>
      <c r="K109" s="18"/>
      <c r="L109" s="43"/>
      <c r="M109" s="9"/>
    </row>
    <row r="110" spans="1:15" s="1" customFormat="1">
      <c r="A110" s="15">
        <f>A109+7</f>
        <v>42981</v>
      </c>
      <c r="B110" s="20">
        <f>C109+F109-G109</f>
        <v>2034.4918607241189</v>
      </c>
      <c r="C110" s="17">
        <f>B110+(B110*0.04)</f>
        <v>2115.8715351530836</v>
      </c>
      <c r="D110" s="17">
        <f>B110/3250</f>
        <v>0.62599749560742124</v>
      </c>
      <c r="E110" s="28">
        <f>(C110-B110)/D110</f>
        <v>130.00000000000006</v>
      </c>
      <c r="F110" s="18"/>
      <c r="G110" s="18"/>
      <c r="H110" s="19">
        <f>D110*50/B110</f>
        <v>1.5384615384615387E-2</v>
      </c>
      <c r="I110" s="18">
        <f>B110-(D110*1080)</f>
        <v>1358.4145654681038</v>
      </c>
      <c r="J110" s="43"/>
      <c r="K110" s="18"/>
      <c r="L110" s="43"/>
      <c r="M110" s="9"/>
      <c r="N110" s="31"/>
      <c r="O110" s="31"/>
    </row>
    <row r="111" spans="1:15" s="1" customFormat="1" ht="13.5" thickBot="1">
      <c r="A111" s="15">
        <f>A110+7</f>
        <v>42988</v>
      </c>
      <c r="B111" s="20">
        <f>C110+F110-G110</f>
        <v>2115.8715351530836</v>
      </c>
      <c r="C111" s="17">
        <f>B111+(B111*0.04)</f>
        <v>2200.5063965592071</v>
      </c>
      <c r="D111" s="17">
        <f>B111/3250</f>
        <v>0.65103739543171801</v>
      </c>
      <c r="E111" s="28">
        <f>(C111-B111)/D111</f>
        <v>130.00000000000023</v>
      </c>
      <c r="F111" s="26"/>
      <c r="G111" s="18"/>
      <c r="H111" s="19">
        <f>D111*50/B111</f>
        <v>1.5384615384615384E-2</v>
      </c>
      <c r="I111" s="18">
        <f>B111-(D111*1080)</f>
        <v>1412.7511480868282</v>
      </c>
      <c r="J111" s="43"/>
      <c r="K111" s="18"/>
      <c r="L111" s="43"/>
      <c r="M111" s="9"/>
      <c r="N111" s="31"/>
      <c r="O111" s="31"/>
    </row>
    <row r="112" spans="1:15" ht="13.5" thickBot="1">
      <c r="A112" s="13"/>
      <c r="B112" s="22"/>
      <c r="C112" s="23"/>
      <c r="D112" s="23"/>
      <c r="E112" s="27"/>
      <c r="F112" s="30"/>
      <c r="G112" s="10"/>
      <c r="H112" s="24"/>
      <c r="I112" s="25"/>
      <c r="J112" s="45"/>
      <c r="K112" s="25"/>
      <c r="L112" s="45"/>
      <c r="M112" s="11"/>
    </row>
    <row r="113" spans="1:15" s="1" customFormat="1">
      <c r="A113" s="15">
        <f>A111+7</f>
        <v>42995</v>
      </c>
      <c r="B113" s="20">
        <f>C111+F111-G111</f>
        <v>2200.5063965592071</v>
      </c>
      <c r="C113" s="17">
        <f>B113+(B113*0.04)</f>
        <v>2288.5266524215754</v>
      </c>
      <c r="D113" s="17">
        <f>B113/3250</f>
        <v>0.67707889124898679</v>
      </c>
      <c r="E113" s="28">
        <f>(C113-B113)/D113</f>
        <v>129.99999999999991</v>
      </c>
      <c r="F113" s="26"/>
      <c r="G113" s="18"/>
      <c r="H113" s="19">
        <f>D113*50/B113</f>
        <v>1.5384615384615385E-2</v>
      </c>
      <c r="I113" s="18">
        <f>B113-(D113*1080)</f>
        <v>1469.2611940103016</v>
      </c>
      <c r="J113" s="43"/>
      <c r="K113" s="18"/>
      <c r="L113" s="43"/>
      <c r="M113" s="9"/>
      <c r="N113" s="31"/>
      <c r="O113" s="31"/>
    </row>
    <row r="114" spans="1:15" s="1" customFormat="1">
      <c r="A114" s="15">
        <f>A113+7</f>
        <v>43002</v>
      </c>
      <c r="B114" s="20">
        <f>C113+F113-G113</f>
        <v>2288.5266524215754</v>
      </c>
      <c r="C114" s="17">
        <f>B114+(B114*0.04)</f>
        <v>2380.0677185184386</v>
      </c>
      <c r="D114" s="17">
        <f>B114/3250</f>
        <v>0.70416204689894624</v>
      </c>
      <c r="E114" s="28">
        <f>(C114-B114)/D114</f>
        <v>130.00000000000031</v>
      </c>
      <c r="F114" s="18"/>
      <c r="G114" s="18"/>
      <c r="H114" s="19">
        <f>D114*50/B114</f>
        <v>1.5384615384615385E-2</v>
      </c>
      <c r="I114" s="18">
        <f>B114-(D114*1080)</f>
        <v>1528.0316417707136</v>
      </c>
      <c r="J114" s="43"/>
      <c r="K114" s="18"/>
      <c r="L114" s="43"/>
      <c r="M114" s="9"/>
    </row>
    <row r="115" spans="1:15" s="1" customFormat="1">
      <c r="A115" s="15">
        <f>A114+7</f>
        <v>43009</v>
      </c>
      <c r="B115" s="20">
        <f>C114+F114-G114</f>
        <v>2380.0677185184386</v>
      </c>
      <c r="C115" s="17">
        <f>B115+(B115*0.04)</f>
        <v>2475.2704272591764</v>
      </c>
      <c r="D115" s="17">
        <f>B115/3250</f>
        <v>0.73232852877490417</v>
      </c>
      <c r="E115" s="28">
        <f>(C115-B115)/D115</f>
        <v>130.00000000000031</v>
      </c>
      <c r="F115" s="18"/>
      <c r="G115" s="18"/>
      <c r="H115" s="19">
        <f>D115*50/B115</f>
        <v>1.5384615384615384E-2</v>
      </c>
      <c r="I115" s="18">
        <f>B115-(D115*1080)</f>
        <v>1589.1529074415421</v>
      </c>
      <c r="J115" s="43"/>
      <c r="K115" s="18"/>
      <c r="L115" s="43"/>
      <c r="M115" s="9"/>
      <c r="N115" s="31"/>
      <c r="O115" s="31"/>
    </row>
    <row r="116" spans="1:15" s="1" customFormat="1" ht="13.5" thickBot="1">
      <c r="A116" s="15">
        <f>A115+7</f>
        <v>43016</v>
      </c>
      <c r="B116" s="20">
        <f>C115+F115-G115</f>
        <v>2475.2704272591764</v>
      </c>
      <c r="C116" s="17">
        <f>B116+(B116*0.04)</f>
        <v>2574.2812443495436</v>
      </c>
      <c r="D116" s="17">
        <f>B116/3250</f>
        <v>0.76162166992590041</v>
      </c>
      <c r="E116" s="28">
        <f>(C116-B116)/D116</f>
        <v>130.00000000000026</v>
      </c>
      <c r="F116" s="26"/>
      <c r="G116" s="18"/>
      <c r="H116" s="19">
        <f>D116*50/B116</f>
        <v>1.5384615384615385E-2</v>
      </c>
      <c r="I116" s="18">
        <f>B116-(D116*1080)</f>
        <v>1652.7190237392037</v>
      </c>
      <c r="J116" s="43"/>
      <c r="K116" s="18"/>
      <c r="L116" s="43"/>
      <c r="M116" s="9"/>
      <c r="N116" s="31"/>
      <c r="O116" s="31"/>
    </row>
    <row r="117" spans="1:15" ht="13.5" thickBot="1">
      <c r="A117" s="13"/>
      <c r="B117" s="22"/>
      <c r="C117" s="23"/>
      <c r="D117" s="23"/>
      <c r="E117" s="27"/>
      <c r="F117" s="30"/>
      <c r="G117" s="10"/>
      <c r="H117" s="24"/>
      <c r="I117" s="25"/>
      <c r="J117" s="45"/>
      <c r="K117" s="25"/>
      <c r="L117" s="45"/>
      <c r="M117" s="11"/>
    </row>
    <row r="118" spans="1:15" s="1" customFormat="1">
      <c r="A118" s="15">
        <f>A116+7</f>
        <v>43023</v>
      </c>
      <c r="B118" s="20">
        <f>C116+F116-G116</f>
        <v>2574.2812443495436</v>
      </c>
      <c r="C118" s="17">
        <f>B118+(B118*0.04)</f>
        <v>2677.2524941235251</v>
      </c>
      <c r="D118" s="17">
        <f>B118/3250</f>
        <v>0.7920865367229365</v>
      </c>
      <c r="E118" s="28">
        <f>(C118-B118)/D118</f>
        <v>129.99999999999972</v>
      </c>
      <c r="F118" s="26"/>
      <c r="G118" s="18"/>
      <c r="H118" s="19">
        <f>D118*50/B118</f>
        <v>1.5384615384615385E-2</v>
      </c>
      <c r="I118" s="18">
        <f>B118-(D118*1080)</f>
        <v>1718.8277846887722</v>
      </c>
      <c r="J118" s="43"/>
      <c r="K118" s="18"/>
      <c r="L118" s="43"/>
      <c r="M118" s="9"/>
      <c r="N118" s="31"/>
      <c r="O118" s="31"/>
    </row>
    <row r="119" spans="1:15" s="1" customFormat="1">
      <c r="A119" s="15">
        <f>A118+7</f>
        <v>43030</v>
      </c>
      <c r="B119" s="20">
        <f>C118+F118-G118</f>
        <v>2677.2524941235251</v>
      </c>
      <c r="C119" s="17">
        <f>B119+(B119*0.04)</f>
        <v>2784.3425938884661</v>
      </c>
      <c r="D119" s="17">
        <f>B119/3250</f>
        <v>0.82376999819185392</v>
      </c>
      <c r="E119" s="28">
        <f>(C119-B119)/D119</f>
        <v>129.99999999999997</v>
      </c>
      <c r="F119" s="18"/>
      <c r="G119" s="18"/>
      <c r="H119" s="19">
        <f>D119*50/B119</f>
        <v>1.5384615384615384E-2</v>
      </c>
      <c r="I119" s="18">
        <f>B119-(D119*1080)</f>
        <v>1787.5808960763229</v>
      </c>
      <c r="J119" s="43"/>
      <c r="K119" s="18"/>
      <c r="L119" s="43"/>
      <c r="M119" s="9"/>
    </row>
    <row r="120" spans="1:15" s="1" customFormat="1">
      <c r="A120" s="15">
        <f>A119+7</f>
        <v>43037</v>
      </c>
      <c r="B120" s="20">
        <f>C119+F119-G119</f>
        <v>2784.3425938884661</v>
      </c>
      <c r="C120" s="17">
        <f>B120+(B120*0.04)</f>
        <v>2895.716297644005</v>
      </c>
      <c r="D120" s="17">
        <f>B120/3250</f>
        <v>0.85672079811952806</v>
      </c>
      <c r="E120" s="28">
        <f>(C120-B120)/D120</f>
        <v>130.0000000000002</v>
      </c>
      <c r="F120" s="18"/>
      <c r="G120" s="18"/>
      <c r="H120" s="19">
        <f>D120*50/B120</f>
        <v>1.5384615384615385E-2</v>
      </c>
      <c r="I120" s="18">
        <f>B120-(D120*1080)</f>
        <v>1859.084131919376</v>
      </c>
      <c r="J120" s="43"/>
      <c r="K120" s="18"/>
      <c r="L120" s="43"/>
      <c r="M120" s="9"/>
      <c r="N120" s="31"/>
      <c r="O120" s="31"/>
    </row>
    <row r="121" spans="1:15" s="1" customFormat="1" ht="13.5" thickBot="1">
      <c r="A121" s="15">
        <f>A120+7</f>
        <v>43044</v>
      </c>
      <c r="B121" s="20">
        <f>C120+F120-G120</f>
        <v>2895.716297644005</v>
      </c>
      <c r="C121" s="17">
        <f>B121+(B121*0.04)</f>
        <v>3011.5449495497651</v>
      </c>
      <c r="D121" s="17">
        <f>B121/3250</f>
        <v>0.8909896300443092</v>
      </c>
      <c r="E121" s="28">
        <f>(C121-B121)/D121</f>
        <v>129.99999999999991</v>
      </c>
      <c r="F121" s="81"/>
      <c r="G121" s="81"/>
      <c r="H121" s="19">
        <f>D121*50/B121</f>
        <v>1.5384615384615384E-2</v>
      </c>
      <c r="I121" s="18">
        <f>B121-(D121*1080)</f>
        <v>1933.4474971961511</v>
      </c>
      <c r="J121" s="43"/>
      <c r="K121" s="18"/>
      <c r="L121" s="43"/>
      <c r="M121" s="9"/>
      <c r="N121" s="31"/>
      <c r="O121" s="31"/>
    </row>
    <row r="122" spans="1:15" ht="13.5" thickBot="1">
      <c r="A122" s="13"/>
      <c r="B122" s="22"/>
      <c r="C122" s="23"/>
      <c r="D122" s="23"/>
      <c r="E122" s="27"/>
      <c r="F122" s="30"/>
      <c r="G122" s="10"/>
      <c r="H122" s="24"/>
      <c r="I122" s="25"/>
      <c r="J122" s="45"/>
      <c r="K122" s="25"/>
      <c r="L122" s="45"/>
      <c r="M122" s="11"/>
    </row>
    <row r="123" spans="1:15" s="1" customFormat="1">
      <c r="A123" s="15">
        <f>A121+7</f>
        <v>43051</v>
      </c>
      <c r="B123" s="20">
        <f>C121+F121-G121</f>
        <v>3011.5449495497651</v>
      </c>
      <c r="C123" s="17">
        <f>B123+(B123*0.04)</f>
        <v>3132.0067475317555</v>
      </c>
      <c r="D123" s="17">
        <f>B123/3250</f>
        <v>0.92662921524608155</v>
      </c>
      <c r="E123" s="28">
        <f>(C123-B123)/D123</f>
        <v>129.99999999999986</v>
      </c>
      <c r="F123" s="26"/>
      <c r="G123" s="18"/>
      <c r="H123" s="19">
        <f>D123*50/B123</f>
        <v>1.5384615384615384E-2</v>
      </c>
      <c r="I123" s="18">
        <f>B123-(D123*1080)</f>
        <v>2010.7853970839969</v>
      </c>
      <c r="J123" s="43"/>
      <c r="K123" s="18"/>
      <c r="L123" s="43"/>
      <c r="M123" s="9"/>
      <c r="N123" s="31"/>
      <c r="O123" s="31"/>
    </row>
    <row r="124" spans="1:15" s="1" customFormat="1">
      <c r="A124" s="15">
        <f>A123+7</f>
        <v>43058</v>
      </c>
      <c r="B124" s="20">
        <f>C123+F123-G123</f>
        <v>3132.0067475317555</v>
      </c>
      <c r="C124" s="17">
        <f>B124+(B124*0.04)</f>
        <v>3257.2870174330255</v>
      </c>
      <c r="D124" s="17">
        <f>B124/3250</f>
        <v>0.96369438385592476</v>
      </c>
      <c r="E124" s="28">
        <f>(C124-B124)/D124</f>
        <v>129.99999999999977</v>
      </c>
      <c r="F124" s="18"/>
      <c r="G124" s="18"/>
      <c r="H124" s="19">
        <f>D124*50/B124</f>
        <v>1.5384615384615384E-2</v>
      </c>
      <c r="I124" s="18">
        <f>B124-(D124*1080)</f>
        <v>2091.2168129673569</v>
      </c>
      <c r="J124" s="43"/>
      <c r="K124" s="18"/>
      <c r="L124" s="43"/>
      <c r="M124" s="9"/>
    </row>
    <row r="125" spans="1:15" s="1" customFormat="1">
      <c r="A125" s="15">
        <f>A124+7</f>
        <v>43065</v>
      </c>
      <c r="B125" s="20">
        <f>C124+F124-G124</f>
        <v>3257.2870174330255</v>
      </c>
      <c r="C125" s="17">
        <f>B125+(B125*0.04)</f>
        <v>3387.5784981303464</v>
      </c>
      <c r="D125" s="17">
        <f>B125/3250</f>
        <v>1.0022421592101618</v>
      </c>
      <c r="E125" s="28">
        <f>(C125-B125)/D125</f>
        <v>129.9999999999998</v>
      </c>
      <c r="F125" s="18"/>
      <c r="G125" s="18"/>
      <c r="H125" s="19">
        <f>D125*50/B125</f>
        <v>1.5384615384615385E-2</v>
      </c>
      <c r="I125" s="18">
        <f>B125-(D125*1080)</f>
        <v>2174.8654854860506</v>
      </c>
      <c r="J125" s="43"/>
      <c r="K125" s="18"/>
      <c r="L125" s="43"/>
      <c r="M125" s="9"/>
      <c r="N125" s="31"/>
      <c r="O125" s="31"/>
    </row>
    <row r="126" spans="1:15" s="1" customFormat="1" ht="13.5" thickBot="1">
      <c r="A126" s="15">
        <f>A125+7</f>
        <v>43072</v>
      </c>
      <c r="B126" s="20">
        <f>C125+F125-G125</f>
        <v>3387.5784981303464</v>
      </c>
      <c r="C126" s="17">
        <f>B126+(B126*0.04)</f>
        <v>3523.0816380555602</v>
      </c>
      <c r="D126" s="17">
        <f>B126/3250</f>
        <v>1.0423318455785682</v>
      </c>
      <c r="E126" s="28">
        <f>(C126-B126)/D126</f>
        <v>130</v>
      </c>
      <c r="F126" s="81"/>
      <c r="G126" s="81"/>
      <c r="H126" s="19">
        <f>D126*50/B126</f>
        <v>1.5384615384615385E-2</v>
      </c>
      <c r="I126" s="18">
        <f>B126-(D126*1080)</f>
        <v>2261.8601049054928</v>
      </c>
      <c r="J126" s="43"/>
      <c r="K126" s="18"/>
      <c r="L126" s="43"/>
      <c r="M126" s="9"/>
      <c r="N126" s="31"/>
      <c r="O126" s="31"/>
    </row>
    <row r="127" spans="1:15" ht="13.5" thickBot="1">
      <c r="A127" s="13"/>
      <c r="B127" s="22"/>
      <c r="C127" s="23"/>
      <c r="D127" s="23"/>
      <c r="E127" s="27"/>
      <c r="F127" s="30"/>
      <c r="G127" s="10"/>
      <c r="H127" s="24"/>
      <c r="I127" s="25"/>
      <c r="J127" s="45"/>
      <c r="K127" s="25"/>
      <c r="L127" s="45"/>
      <c r="M127" s="11"/>
    </row>
    <row r="128" spans="1:15" s="1" customFormat="1">
      <c r="A128" s="15">
        <f>A126+7</f>
        <v>43079</v>
      </c>
      <c r="B128" s="20">
        <f>C126+F126-G126</f>
        <v>3523.0816380555602</v>
      </c>
      <c r="C128" s="17">
        <f>B128+(B128*0.04)</f>
        <v>3664.0049035777824</v>
      </c>
      <c r="D128" s="17">
        <f>B128/3250</f>
        <v>1.0840251194017108</v>
      </c>
      <c r="E128" s="28">
        <f>(C128-B128)/D128</f>
        <v>129.99999999999983</v>
      </c>
      <c r="F128" s="26"/>
      <c r="G128" s="18"/>
      <c r="H128" s="19">
        <f>D128*50/B128</f>
        <v>1.5384615384615384E-2</v>
      </c>
      <c r="I128" s="18">
        <f>B128-(D128*1080)</f>
        <v>2352.3345091017127</v>
      </c>
      <c r="J128" s="43"/>
      <c r="K128" s="18"/>
      <c r="L128" s="43"/>
      <c r="M128" s="9"/>
      <c r="N128" s="31"/>
      <c r="O128" s="31"/>
    </row>
    <row r="129" spans="1:15" s="1" customFormat="1">
      <c r="A129" s="15">
        <f>A128+7</f>
        <v>43086</v>
      </c>
      <c r="B129" s="20">
        <f>C128+F128-G128</f>
        <v>3664.0049035777824</v>
      </c>
      <c r="C129" s="17">
        <f>B129+(B129*0.04)</f>
        <v>3810.5650997208936</v>
      </c>
      <c r="D129" s="17">
        <f>B129/3250</f>
        <v>1.1273861241777792</v>
      </c>
      <c r="E129" s="28">
        <f>(C129-B129)/D129</f>
        <v>129.99999999999989</v>
      </c>
      <c r="F129" s="18"/>
      <c r="G129" s="18"/>
      <c r="H129" s="19">
        <f>D129*50/B129</f>
        <v>1.5384615384615384E-2</v>
      </c>
      <c r="I129" s="18">
        <f>B129-(D129*1080)</f>
        <v>2446.4278894657809</v>
      </c>
      <c r="J129" s="43"/>
      <c r="K129" s="18"/>
      <c r="L129" s="43"/>
      <c r="M129" s="9"/>
    </row>
    <row r="130" spans="1:15" s="1" customFormat="1">
      <c r="A130" s="15">
        <f>A129+7</f>
        <v>43093</v>
      </c>
      <c r="B130" s="20">
        <f>C129+F129-G129</f>
        <v>3810.5650997208936</v>
      </c>
      <c r="C130" s="17">
        <f>B130+(B130*0.04)</f>
        <v>3962.9877037097294</v>
      </c>
      <c r="D130" s="17">
        <f>B130/3250</f>
        <v>1.1724815691448904</v>
      </c>
      <c r="E130" s="28">
        <f>(C130-B130)/D130</f>
        <v>130.00000000000006</v>
      </c>
      <c r="F130" s="18"/>
      <c r="G130" s="18"/>
      <c r="H130" s="19">
        <f>D130*50/B130</f>
        <v>1.5384615384615385E-2</v>
      </c>
      <c r="I130" s="18">
        <f>B130-(D130*1080)</f>
        <v>2544.2850050444122</v>
      </c>
      <c r="J130" s="43"/>
      <c r="K130" s="18"/>
      <c r="L130" s="43"/>
      <c r="M130" s="9"/>
      <c r="N130" s="31"/>
      <c r="O130" s="31"/>
    </row>
    <row r="131" spans="1:15" s="1" customFormat="1" ht="13.5" thickBot="1">
      <c r="A131" s="15">
        <f>A130+7</f>
        <v>43100</v>
      </c>
      <c r="B131" s="20">
        <f>C130+F130-G130</f>
        <v>3962.9877037097294</v>
      </c>
      <c r="C131" s="17">
        <f>B131+(B131*0.04)</f>
        <v>4121.5072118581184</v>
      </c>
      <c r="D131" s="17">
        <f>B131/3250</f>
        <v>1.219380831910686</v>
      </c>
      <c r="E131" s="28">
        <f>(C131-B131)/D131</f>
        <v>129.99999999999977</v>
      </c>
      <c r="F131" s="81"/>
      <c r="G131" s="81"/>
      <c r="H131" s="19">
        <f>D131*50/B131</f>
        <v>1.5384615384615385E-2</v>
      </c>
      <c r="I131" s="18">
        <f>B131-(D131*1080)</f>
        <v>2646.0564052461887</v>
      </c>
      <c r="J131" s="43"/>
      <c r="K131" s="18"/>
      <c r="L131" s="43"/>
      <c r="M131" s="9"/>
      <c r="N131" s="31"/>
      <c r="O131" s="31"/>
    </row>
    <row r="132" spans="1:15" ht="13.5" thickBot="1">
      <c r="A132" s="13"/>
      <c r="B132" s="22"/>
      <c r="C132" s="23"/>
      <c r="D132" s="23"/>
      <c r="E132" s="27"/>
      <c r="F132" s="30"/>
      <c r="G132" s="10"/>
      <c r="H132" s="24"/>
      <c r="I132" s="25"/>
      <c r="J132" s="45"/>
      <c r="K132" s="25"/>
      <c r="L132" s="45"/>
      <c r="M132" s="11"/>
    </row>
    <row r="133" spans="1:15" s="1" customFormat="1">
      <c r="A133" s="15">
        <f>A131+7</f>
        <v>43107</v>
      </c>
      <c r="B133" s="20">
        <f>C131+F131-G131</f>
        <v>4121.5072118581184</v>
      </c>
      <c r="C133" s="17">
        <f>B133+(B133*0.04)</f>
        <v>4286.3675003324433</v>
      </c>
      <c r="D133" s="17">
        <f>B133/3250</f>
        <v>1.2681560651871133</v>
      </c>
      <c r="E133" s="28">
        <f>(C133-B133)/D133</f>
        <v>130.0000000000002</v>
      </c>
      <c r="F133" s="26"/>
      <c r="G133" s="52"/>
      <c r="H133" s="19">
        <f>D133*50/B133</f>
        <v>1.5384615384615385E-2</v>
      </c>
      <c r="I133" s="18">
        <f>B133-(D133*1080)</f>
        <v>2751.8986614560363</v>
      </c>
      <c r="J133" s="43"/>
      <c r="K133" s="18"/>
      <c r="L133" s="43"/>
      <c r="M133" s="9"/>
      <c r="N133" s="31"/>
      <c r="O133" s="31"/>
    </row>
    <row r="134" spans="1:15" s="1" customFormat="1">
      <c r="A134" s="15">
        <f>A133+7</f>
        <v>43114</v>
      </c>
      <c r="B134" s="20">
        <f>C133+F133-G133</f>
        <v>4286.3675003324433</v>
      </c>
      <c r="C134" s="17">
        <f>B134+(B134*0.04)</f>
        <v>4457.8222003457413</v>
      </c>
      <c r="D134" s="17">
        <f>B134/3250</f>
        <v>1.3188823077945979</v>
      </c>
      <c r="E134" s="28">
        <f>(C134-B134)/D134</f>
        <v>130.00000000000017</v>
      </c>
      <c r="F134" s="26"/>
      <c r="G134" s="33"/>
      <c r="H134" s="19">
        <f>D134*50/B134</f>
        <v>1.5384615384615385E-2</v>
      </c>
      <c r="I134" s="18">
        <f>B134-(D134*1080)</f>
        <v>2861.9746079142778</v>
      </c>
      <c r="J134" s="43"/>
      <c r="K134" s="18"/>
      <c r="L134" s="43"/>
      <c r="M134" s="9"/>
    </row>
    <row r="135" spans="1:15" s="1" customFormat="1">
      <c r="A135" s="15">
        <f>A134+7</f>
        <v>43121</v>
      </c>
      <c r="B135" s="20">
        <f>C134+F134-G134</f>
        <v>4457.8222003457413</v>
      </c>
      <c r="C135" s="17">
        <f>B135+(B135*0.04)</f>
        <v>4636.1350883595705</v>
      </c>
      <c r="D135" s="17">
        <f>B135/3250</f>
        <v>1.3716376001063819</v>
      </c>
      <c r="E135" s="28">
        <f>(C135-B135)/D135</f>
        <v>129.99999999999972</v>
      </c>
      <c r="F135" s="26"/>
      <c r="G135" s="33"/>
      <c r="H135" s="19">
        <f>D135*50/B135</f>
        <v>1.5384615384615384E-2</v>
      </c>
      <c r="I135" s="18">
        <f>B135-(D135*1080)</f>
        <v>2976.4535922308487</v>
      </c>
      <c r="J135" s="43"/>
      <c r="K135" s="18"/>
      <c r="L135" s="43"/>
      <c r="M135" s="9"/>
      <c r="N135" s="31"/>
      <c r="O135" s="31"/>
    </row>
    <row r="136" spans="1:15" s="1" customFormat="1" ht="13.5" thickBot="1">
      <c r="A136" s="15">
        <f>A135+7</f>
        <v>43128</v>
      </c>
      <c r="B136" s="20">
        <f>C135+F135-G135</f>
        <v>4636.1350883595705</v>
      </c>
      <c r="C136" s="17">
        <f>B136+(B136*0.04)</f>
        <v>4821.580491893953</v>
      </c>
      <c r="D136" s="17">
        <f>B136/3250</f>
        <v>1.4265031041106371</v>
      </c>
      <c r="E136" s="28">
        <f>(C136-B136)/D136</f>
        <v>129.99999999999972</v>
      </c>
      <c r="F136" s="81"/>
      <c r="G136" s="81"/>
      <c r="H136" s="19">
        <f>D136*50/B136</f>
        <v>1.5384615384615385E-2</v>
      </c>
      <c r="I136" s="18">
        <f>B136-(D136*1080)</f>
        <v>3095.5117359200822</v>
      </c>
      <c r="J136" s="43"/>
      <c r="K136" s="18"/>
      <c r="L136" s="43"/>
      <c r="M136" s="9"/>
      <c r="N136" s="31"/>
      <c r="O136" s="31"/>
    </row>
    <row r="137" spans="1:15" ht="13.5" thickBot="1">
      <c r="A137" s="13"/>
      <c r="B137" s="22"/>
      <c r="C137" s="23"/>
      <c r="D137" s="23"/>
      <c r="E137" s="27"/>
      <c r="F137" s="30"/>
      <c r="G137" s="10"/>
      <c r="H137" s="24"/>
      <c r="I137" s="25"/>
      <c r="J137" s="45"/>
      <c r="K137" s="25"/>
      <c r="L137" s="45"/>
      <c r="M137" s="11"/>
    </row>
    <row r="138" spans="1:15" s="1" customFormat="1">
      <c r="A138" s="15">
        <f>A136+7</f>
        <v>43135</v>
      </c>
      <c r="B138" s="20">
        <f>C136+F136-G136</f>
        <v>4821.580491893953</v>
      </c>
      <c r="C138" s="17">
        <f>B138+(B138*0.04)</f>
        <v>5014.443711569711</v>
      </c>
      <c r="D138" s="17">
        <f>B138/3250</f>
        <v>1.4835632282750624</v>
      </c>
      <c r="E138" s="28">
        <f>(C138-B138)/D138</f>
        <v>129.99999999999997</v>
      </c>
      <c r="F138" s="26"/>
      <c r="G138" s="18"/>
      <c r="H138" s="19">
        <f>D138*50/B138</f>
        <v>1.5384615384615384E-2</v>
      </c>
      <c r="I138" s="18">
        <f>B138-(D138*1080)</f>
        <v>3219.3322053568854</v>
      </c>
      <c r="J138" s="43"/>
      <c r="K138" s="18"/>
      <c r="L138" s="43"/>
      <c r="M138" s="9"/>
      <c r="N138" s="31"/>
      <c r="O138" s="31"/>
    </row>
    <row r="139" spans="1:15" s="1" customFormat="1">
      <c r="A139" s="15">
        <f>A138+7</f>
        <v>43142</v>
      </c>
      <c r="B139" s="20">
        <f>C138+F138-G138</f>
        <v>5014.443711569711</v>
      </c>
      <c r="C139" s="17">
        <f>B139+(B139*0.04)</f>
        <v>5215.0214600324998</v>
      </c>
      <c r="D139" s="17">
        <f>B139/3250</f>
        <v>1.5429057574060649</v>
      </c>
      <c r="E139" s="28">
        <f>(C139-B139)/D139</f>
        <v>130.00000000000023</v>
      </c>
      <c r="F139" s="18"/>
      <c r="G139" s="18"/>
      <c r="H139" s="19">
        <f>D139*50/B139</f>
        <v>1.5384615384615385E-2</v>
      </c>
      <c r="I139" s="18">
        <f>B139-(D139*1080)</f>
        <v>3348.1054935711609</v>
      </c>
      <c r="J139" s="43"/>
      <c r="K139" s="18"/>
      <c r="L139" s="43"/>
      <c r="M139" s="9"/>
    </row>
    <row r="140" spans="1:15" s="1" customFormat="1">
      <c r="A140" s="15">
        <f>A139+7</f>
        <v>43149</v>
      </c>
      <c r="B140" s="20">
        <f>C139+F139-G139</f>
        <v>5215.0214600324998</v>
      </c>
      <c r="C140" s="17">
        <f>B140+(B140*0.04)</f>
        <v>5423.6223184337996</v>
      </c>
      <c r="D140" s="17">
        <f>B140/3250</f>
        <v>1.6046219877023076</v>
      </c>
      <c r="E140" s="28">
        <f>(C140-B140)/D140</f>
        <v>129.99999999999986</v>
      </c>
      <c r="F140" s="18"/>
      <c r="G140" s="18"/>
      <c r="H140" s="19">
        <f>D140*50/B140</f>
        <v>1.5384615384615385E-2</v>
      </c>
      <c r="I140" s="18">
        <f>B140-(D140*1080)</f>
        <v>3482.0297133140075</v>
      </c>
      <c r="J140" s="43"/>
      <c r="K140" s="18"/>
      <c r="L140" s="43"/>
      <c r="M140" s="9"/>
      <c r="N140" s="31"/>
      <c r="O140" s="31"/>
    </row>
    <row r="141" spans="1:15" s="1" customFormat="1" ht="13.5" thickBot="1">
      <c r="A141" s="15">
        <f>A140+7</f>
        <v>43156</v>
      </c>
      <c r="B141" s="20">
        <f>C140+F140-G140</f>
        <v>5423.6223184337996</v>
      </c>
      <c r="C141" s="17">
        <f>B141+(B141*0.04)</f>
        <v>5640.5672111711519</v>
      </c>
      <c r="D141" s="17">
        <f>B141/3250</f>
        <v>1.6688068672103999</v>
      </c>
      <c r="E141" s="28">
        <f>(C141-B141)/D141</f>
        <v>130.0000000000002</v>
      </c>
      <c r="F141" s="81"/>
      <c r="G141" s="81"/>
      <c r="H141" s="19">
        <f>D141*50/B141</f>
        <v>1.5384615384615387E-2</v>
      </c>
      <c r="I141" s="18">
        <f>B141-(D141*1080)</f>
        <v>3621.3109018465675</v>
      </c>
      <c r="J141" s="43"/>
      <c r="K141" s="18"/>
      <c r="L141" s="43"/>
      <c r="M141" s="9"/>
      <c r="N141" s="31"/>
      <c r="O141" s="31"/>
    </row>
    <row r="142" spans="1:15" ht="13.5" thickBot="1">
      <c r="A142" s="13"/>
      <c r="B142" s="22"/>
      <c r="C142" s="23"/>
      <c r="D142" s="23"/>
      <c r="E142" s="27"/>
      <c r="F142" s="30"/>
      <c r="G142" s="10"/>
      <c r="H142" s="24"/>
      <c r="I142" s="25"/>
      <c r="J142" s="45"/>
      <c r="K142" s="25"/>
      <c r="L142" s="45"/>
      <c r="M142" s="11"/>
    </row>
    <row r="143" spans="1:15" s="1" customFormat="1">
      <c r="A143" s="15">
        <f>A141+7</f>
        <v>43163</v>
      </c>
      <c r="B143" s="20">
        <f>C141+F141-G141</f>
        <v>5640.5672111711519</v>
      </c>
      <c r="C143" s="17">
        <f>B143+(B143*0.04)</f>
        <v>5866.189899617998</v>
      </c>
      <c r="D143" s="17">
        <f>B143/3250</f>
        <v>1.7355591418988159</v>
      </c>
      <c r="E143" s="28">
        <f>(C143-B143)/D143</f>
        <v>130</v>
      </c>
      <c r="F143" s="26"/>
      <c r="G143" s="18"/>
      <c r="H143" s="19">
        <f>D143*50/B143</f>
        <v>1.5384615384615382E-2</v>
      </c>
      <c r="I143" s="18">
        <f>B143-(D143*1080)</f>
        <v>3766.1633379204309</v>
      </c>
      <c r="J143" s="43"/>
      <c r="K143" s="18"/>
      <c r="L143" s="43"/>
      <c r="M143" s="9"/>
      <c r="N143" s="31"/>
      <c r="O143" s="31"/>
    </row>
    <row r="144" spans="1:15" s="1" customFormat="1">
      <c r="A144" s="15">
        <f>A143+7</f>
        <v>43170</v>
      </c>
      <c r="B144" s="20">
        <f>C143+F143-G143</f>
        <v>5866.189899617998</v>
      </c>
      <c r="C144" s="17">
        <f>B144+(B144*0.04)</f>
        <v>6100.8374956027183</v>
      </c>
      <c r="D144" s="17">
        <f>B144/3250</f>
        <v>1.8049815075747686</v>
      </c>
      <c r="E144" s="28">
        <f>(C144-B144)/D144</f>
        <v>130.0000000000002</v>
      </c>
      <c r="F144" s="18"/>
      <c r="G144" s="18"/>
      <c r="H144" s="19">
        <f>D144*50/B144</f>
        <v>1.5384615384615384E-2</v>
      </c>
      <c r="I144" s="18">
        <f>B144-(D144*1080)</f>
        <v>3916.8098714372481</v>
      </c>
      <c r="J144" s="43"/>
      <c r="K144" s="18"/>
      <c r="L144" s="43"/>
      <c r="M144" s="9"/>
    </row>
    <row r="145" spans="1:15" s="1" customFormat="1">
      <c r="A145" s="15">
        <f>A144+7</f>
        <v>43177</v>
      </c>
      <c r="B145" s="20">
        <f>C144+F144-G144</f>
        <v>6100.8374956027183</v>
      </c>
      <c r="C145" s="17">
        <f>B145+(B145*0.04)</f>
        <v>6344.870995426827</v>
      </c>
      <c r="D145" s="17">
        <f>B145/3250</f>
        <v>1.8771807678777594</v>
      </c>
      <c r="E145" s="28">
        <f>(C145-B145)/D145</f>
        <v>130</v>
      </c>
      <c r="F145" s="18"/>
      <c r="G145" s="18"/>
      <c r="H145" s="19">
        <f>D145*50/B145</f>
        <v>1.5384615384615384E-2</v>
      </c>
      <c r="I145" s="18">
        <f>B145-(D145*1080)</f>
        <v>4073.4822662947381</v>
      </c>
      <c r="J145" s="43"/>
      <c r="K145" s="18"/>
      <c r="L145" s="43"/>
      <c r="M145" s="9"/>
      <c r="N145" s="31"/>
      <c r="O145" s="31"/>
    </row>
    <row r="146" spans="1:15" s="1" customFormat="1" ht="13.5" thickBot="1">
      <c r="A146" s="15">
        <f>A145+7</f>
        <v>43184</v>
      </c>
      <c r="B146" s="20">
        <f>C145+F145-G145</f>
        <v>6344.870995426827</v>
      </c>
      <c r="C146" s="17">
        <f>B146+(B146*0.04)</f>
        <v>6598.6658352438999</v>
      </c>
      <c r="D146" s="17">
        <f>B146/3250</f>
        <v>1.9522679985928699</v>
      </c>
      <c r="E146" s="28">
        <f>(C146-B146)/D146</f>
        <v>129.99999999999991</v>
      </c>
      <c r="F146" s="81"/>
      <c r="G146" s="81"/>
      <c r="H146" s="19">
        <f>D146*50/B146</f>
        <v>1.5384615384615385E-2</v>
      </c>
      <c r="I146" s="18">
        <f>B146-(D146*1080)</f>
        <v>4236.4215569465268</v>
      </c>
      <c r="J146" s="43"/>
      <c r="K146" s="18"/>
      <c r="L146" s="43"/>
      <c r="M146" s="9"/>
      <c r="N146" s="31"/>
      <c r="O146" s="31"/>
    </row>
    <row r="147" spans="1:15" ht="13.5" thickBot="1">
      <c r="A147" s="13"/>
      <c r="B147" s="22"/>
      <c r="C147" s="23"/>
      <c r="D147" s="23"/>
      <c r="E147" s="27"/>
      <c r="F147" s="30"/>
      <c r="G147" s="10"/>
      <c r="H147" s="24"/>
      <c r="I147" s="25"/>
      <c r="J147" s="45"/>
      <c r="K147" s="25"/>
      <c r="L147" s="45"/>
      <c r="M147" s="11"/>
    </row>
    <row r="148" spans="1:15" s="1" customFormat="1">
      <c r="A148" s="15">
        <f>A146+7</f>
        <v>43191</v>
      </c>
      <c r="B148" s="20">
        <f>C146+F146-G146</f>
        <v>6598.6658352438999</v>
      </c>
      <c r="C148" s="17">
        <f>B148+(B148*0.04)</f>
        <v>6862.6124686536559</v>
      </c>
      <c r="D148" s="17">
        <f>B148/3250</f>
        <v>2.0303587185365846</v>
      </c>
      <c r="E148" s="28">
        <f>(C148-B148)/D148</f>
        <v>130.00000000000003</v>
      </c>
      <c r="F148" s="26"/>
      <c r="G148" s="18"/>
      <c r="H148" s="19">
        <f>D148*50/B148</f>
        <v>1.5384615384615384E-2</v>
      </c>
      <c r="I148" s="18">
        <f>B148-(D148*1080)</f>
        <v>4405.8784192243884</v>
      </c>
      <c r="J148" s="43"/>
      <c r="K148" s="18"/>
      <c r="L148" s="43"/>
      <c r="M148" s="9"/>
      <c r="N148" s="31"/>
      <c r="O148" s="31"/>
    </row>
    <row r="149" spans="1:15" s="1" customFormat="1">
      <c r="A149" s="15">
        <f>A148+7</f>
        <v>43198</v>
      </c>
      <c r="B149" s="20">
        <f>C148+F148-G148</f>
        <v>6862.6124686536559</v>
      </c>
      <c r="C149" s="17">
        <f>B149+(B149*0.04)</f>
        <v>7137.116967399802</v>
      </c>
      <c r="D149" s="17">
        <f>B149/3250</f>
        <v>2.1115730672780479</v>
      </c>
      <c r="E149" s="28">
        <f>(C149-B149)/D149</f>
        <v>129.99999999999991</v>
      </c>
      <c r="F149" s="18"/>
      <c r="G149" s="18"/>
      <c r="H149" s="19">
        <f>D149*50/B149</f>
        <v>1.5384615384615384E-2</v>
      </c>
      <c r="I149" s="18">
        <f>B149-(D149*1080)</f>
        <v>4582.1135559933646</v>
      </c>
      <c r="J149" s="43"/>
      <c r="K149" s="18"/>
      <c r="L149" s="43"/>
      <c r="M149" s="9"/>
    </row>
    <row r="150" spans="1:15" s="1" customFormat="1">
      <c r="A150" s="15">
        <f>A149+7</f>
        <v>43205</v>
      </c>
      <c r="B150" s="20">
        <f>C149+F149-G149</f>
        <v>7137.116967399802</v>
      </c>
      <c r="C150" s="17">
        <f>B150+(B150*0.04)</f>
        <v>7422.6016460957944</v>
      </c>
      <c r="D150" s="17">
        <f>B150/3250</f>
        <v>2.1960359899691699</v>
      </c>
      <c r="E150" s="28">
        <f>(C150-B150)/D150</f>
        <v>130.00000000000017</v>
      </c>
      <c r="F150" s="18"/>
      <c r="G150" s="18"/>
      <c r="H150" s="19">
        <f>D150*50/B150</f>
        <v>1.5384615384615385E-2</v>
      </c>
      <c r="I150" s="18">
        <f>B150-(D150*1080)</f>
        <v>4765.3980982330986</v>
      </c>
      <c r="J150" s="43"/>
      <c r="K150" s="18"/>
      <c r="L150" s="43"/>
      <c r="M150" s="9"/>
      <c r="N150" s="31"/>
      <c r="O150" s="31"/>
    </row>
    <row r="151" spans="1:15" s="1" customFormat="1" ht="13.5" thickBot="1">
      <c r="A151" s="15">
        <f>A150+7</f>
        <v>43212</v>
      </c>
      <c r="B151" s="20">
        <f>C150+F150-G150</f>
        <v>7422.6016460957944</v>
      </c>
      <c r="C151" s="17">
        <f>B151+(B151*0.04)</f>
        <v>7719.5057119396261</v>
      </c>
      <c r="D151" s="17">
        <f>B151/3250</f>
        <v>2.2838774295679367</v>
      </c>
      <c r="E151" s="28">
        <f>(C151-B151)/D151</f>
        <v>129.99999999999994</v>
      </c>
      <c r="F151" s="81"/>
      <c r="G151" s="81"/>
      <c r="H151" s="19">
        <f>D151*50/B151</f>
        <v>1.5384615384615384E-2</v>
      </c>
      <c r="I151" s="18">
        <f>B151-(D151*1080)</f>
        <v>4956.0140221624224</v>
      </c>
      <c r="J151" s="43"/>
      <c r="K151" s="18"/>
      <c r="L151" s="43"/>
      <c r="M151" s="9"/>
      <c r="N151" s="31"/>
      <c r="O151" s="31"/>
    </row>
    <row r="152" spans="1:15" ht="13.5" thickBot="1">
      <c r="A152" s="13"/>
      <c r="B152" s="22"/>
      <c r="C152" s="23"/>
      <c r="D152" s="23"/>
      <c r="E152" s="27"/>
      <c r="F152" s="30"/>
      <c r="G152" s="10"/>
      <c r="H152" s="24"/>
      <c r="I152" s="25"/>
      <c r="J152" s="45"/>
      <c r="K152" s="25"/>
      <c r="L152" s="45"/>
      <c r="M152" s="11"/>
    </row>
    <row r="153" spans="1:15" s="1" customFormat="1">
      <c r="A153" s="15">
        <f>A151+7</f>
        <v>43219</v>
      </c>
      <c r="B153" s="20">
        <f>C151+F151-G151</f>
        <v>7719.5057119396261</v>
      </c>
      <c r="C153" s="17">
        <f>B153+(B153*0.04)</f>
        <v>8028.2859404172113</v>
      </c>
      <c r="D153" s="17">
        <f>B153/3250</f>
        <v>2.3752325267506542</v>
      </c>
      <c r="E153" s="28">
        <f>(C153-B153)/D153</f>
        <v>130.00000000000011</v>
      </c>
      <c r="F153" s="26"/>
      <c r="G153" s="18"/>
      <c r="H153" s="19">
        <f>D153*50/B153</f>
        <v>1.5384615384615384E-2</v>
      </c>
      <c r="I153" s="18">
        <f>B153-(D153*1080)</f>
        <v>5154.2545830489198</v>
      </c>
      <c r="J153" s="43"/>
      <c r="K153" s="18"/>
      <c r="L153" s="43"/>
      <c r="M153" s="9"/>
      <c r="N153" s="31"/>
      <c r="O153" s="31"/>
    </row>
    <row r="154" spans="1:15" s="1" customFormat="1">
      <c r="A154" s="15">
        <f>A153+7</f>
        <v>43226</v>
      </c>
      <c r="B154" s="20">
        <f>C153+F153-G153</f>
        <v>8028.2859404172113</v>
      </c>
      <c r="C154" s="17">
        <f>B154+(B154*0.04)</f>
        <v>8349.4173780339006</v>
      </c>
      <c r="D154" s="17">
        <f>B154/3250</f>
        <v>2.4702418278206806</v>
      </c>
      <c r="E154" s="28">
        <f>(C154-B154)/D154</f>
        <v>130.00000000000031</v>
      </c>
      <c r="F154" s="18"/>
      <c r="G154" s="18"/>
      <c r="H154" s="19">
        <f>D154*50/B154</f>
        <v>1.5384615384615385E-2</v>
      </c>
      <c r="I154" s="18">
        <f>B154-(D154*1080)</f>
        <v>5360.4247663708757</v>
      </c>
      <c r="J154" s="43"/>
      <c r="K154" s="18"/>
      <c r="L154" s="43"/>
      <c r="M154" s="9"/>
    </row>
    <row r="155" spans="1:15" s="1" customFormat="1">
      <c r="A155" s="15">
        <f>A154+7</f>
        <v>43233</v>
      </c>
      <c r="B155" s="20">
        <f>C154+F154-G154</f>
        <v>8349.4173780339006</v>
      </c>
      <c r="C155" s="17">
        <f>B155+(B155*0.04)</f>
        <v>8683.3940731552575</v>
      </c>
      <c r="D155" s="17">
        <f>B155/3250</f>
        <v>2.569051500933508</v>
      </c>
      <c r="E155" s="28">
        <f>(C155-B155)/D155</f>
        <v>130.00000000000034</v>
      </c>
      <c r="F155" s="18"/>
      <c r="G155" s="18"/>
      <c r="H155" s="19">
        <f>D155*50/B155</f>
        <v>1.5384615384615385E-2</v>
      </c>
      <c r="I155" s="18">
        <f>B155-(D155*1080)</f>
        <v>5574.8417570257116</v>
      </c>
      <c r="J155" s="43"/>
      <c r="K155" s="18"/>
      <c r="L155" s="43"/>
      <c r="M155" s="9"/>
      <c r="N155" s="31"/>
      <c r="O155" s="31"/>
    </row>
    <row r="156" spans="1:15" s="1" customFormat="1" ht="13.5" thickBot="1">
      <c r="A156" s="15">
        <f>A155+7</f>
        <v>43240</v>
      </c>
      <c r="B156" s="20">
        <f>C155+F155-G155</f>
        <v>8683.3940731552575</v>
      </c>
      <c r="C156" s="17">
        <f>B156+(B156*0.04)</f>
        <v>9030.7298360814675</v>
      </c>
      <c r="D156" s="17">
        <f>B156/3250</f>
        <v>2.6718135609708487</v>
      </c>
      <c r="E156" s="28">
        <f>(C156-B156)/D156</f>
        <v>129.99999999999989</v>
      </c>
      <c r="F156" s="81"/>
      <c r="G156" s="81"/>
      <c r="H156" s="19">
        <f>D156*50/B156</f>
        <v>1.5384615384615385E-2</v>
      </c>
      <c r="I156" s="18">
        <f>B156-(D156*1080)</f>
        <v>5797.8354273067416</v>
      </c>
      <c r="J156" s="43"/>
      <c r="K156" s="18"/>
      <c r="L156" s="43"/>
      <c r="M156" s="9"/>
      <c r="N156" s="31"/>
      <c r="O156" s="31"/>
    </row>
    <row r="157" spans="1:15" ht="13.5" thickBot="1">
      <c r="A157" s="13"/>
      <c r="B157" s="22"/>
      <c r="C157" s="23"/>
      <c r="D157" s="23"/>
      <c r="E157" s="27"/>
      <c r="F157" s="30"/>
      <c r="G157" s="10"/>
      <c r="H157" s="24"/>
      <c r="I157" s="25"/>
      <c r="J157" s="45"/>
      <c r="K157" s="25"/>
      <c r="L157" s="45"/>
      <c r="M157" s="11"/>
    </row>
    <row r="158" spans="1:15" s="1" customFormat="1">
      <c r="A158" s="15">
        <f>A156+7</f>
        <v>43247</v>
      </c>
      <c r="B158" s="20">
        <f>C156+F156-G156</f>
        <v>9030.7298360814675</v>
      </c>
      <c r="C158" s="17">
        <f>B158+(B158*0.04)</f>
        <v>9391.9590295247253</v>
      </c>
      <c r="D158" s="17">
        <f>B158/3250</f>
        <v>2.7786861034096821</v>
      </c>
      <c r="E158" s="28">
        <f>(C158-B158)/D158</f>
        <v>129.99999999999969</v>
      </c>
      <c r="F158" s="26"/>
      <c r="G158" s="18"/>
      <c r="H158" s="19">
        <f>D158*50/B158</f>
        <v>1.5384615384615382E-2</v>
      </c>
      <c r="I158" s="18">
        <f>B158-(D158*1080)</f>
        <v>6029.7488443990114</v>
      </c>
      <c r="J158" s="43"/>
      <c r="K158" s="18"/>
      <c r="L158" s="43"/>
      <c r="M158" s="9"/>
      <c r="N158" s="31"/>
      <c r="O158" s="31"/>
    </row>
    <row r="159" spans="1:15" s="1" customFormat="1">
      <c r="A159" s="15">
        <f>A158+7</f>
        <v>43254</v>
      </c>
      <c r="B159" s="20">
        <f>C158+F158-G158</f>
        <v>9391.9590295247253</v>
      </c>
      <c r="C159" s="17">
        <f>B159+(B159*0.04)</f>
        <v>9767.637390705715</v>
      </c>
      <c r="D159" s="17">
        <f>B159/3250</f>
        <v>2.8898335475460692</v>
      </c>
      <c r="E159" s="28">
        <f>(C159-B159)/D159</f>
        <v>130.00000000000023</v>
      </c>
      <c r="F159" s="18"/>
      <c r="G159" s="18"/>
      <c r="H159" s="19">
        <f>D159*50/B159</f>
        <v>1.5384615384615384E-2</v>
      </c>
      <c r="I159" s="18">
        <f>B159-(D159*1080)</f>
        <v>6270.9387981749705</v>
      </c>
      <c r="J159" s="43"/>
      <c r="K159" s="18"/>
      <c r="L159" s="43"/>
      <c r="M159" s="9"/>
    </row>
    <row r="160" spans="1:15" s="1" customFormat="1">
      <c r="A160" s="15">
        <f>A159+7</f>
        <v>43261</v>
      </c>
      <c r="B160" s="20">
        <f>C159+F159-G159</f>
        <v>9767.637390705715</v>
      </c>
      <c r="C160" s="17">
        <f>B160+(B160*0.04)</f>
        <v>10158.342886333943</v>
      </c>
      <c r="D160" s="17">
        <f>B160/3250</f>
        <v>3.0054268894479121</v>
      </c>
      <c r="E160" s="28">
        <f>(C160-B160)/D160</f>
        <v>129.99999999999986</v>
      </c>
      <c r="F160" s="18"/>
      <c r="G160" s="18"/>
      <c r="H160" s="19">
        <f>D160*50/B160</f>
        <v>1.5384615384615384E-2</v>
      </c>
      <c r="I160" s="18">
        <f>B160-(D160*1080)</f>
        <v>6521.7763501019699</v>
      </c>
      <c r="J160" s="43"/>
      <c r="K160" s="18"/>
      <c r="L160" s="43"/>
      <c r="M160" s="9"/>
      <c r="N160" s="31"/>
      <c r="O160" s="31"/>
    </row>
    <row r="161" spans="1:15" s="1" customFormat="1" ht="13.5" thickBot="1">
      <c r="A161" s="15">
        <f>A160+7</f>
        <v>43268</v>
      </c>
      <c r="B161" s="20">
        <f>C160+F160-G160</f>
        <v>10158.342886333943</v>
      </c>
      <c r="C161" s="17">
        <f>B161+(B161*0.04)</f>
        <v>10564.676601787301</v>
      </c>
      <c r="D161" s="17">
        <f>B161/3250</f>
        <v>3.1256439650258288</v>
      </c>
      <c r="E161" s="28">
        <f>(C161-B161)/D161</f>
        <v>130.00000000000017</v>
      </c>
      <c r="F161" s="81"/>
      <c r="G161" s="81"/>
      <c r="H161" s="19">
        <f>D161*50/B161</f>
        <v>1.5384615384615385E-2</v>
      </c>
      <c r="I161" s="18">
        <f>B161-(D161*1080)</f>
        <v>6782.6474041060483</v>
      </c>
      <c r="J161" s="43"/>
      <c r="K161" s="18"/>
      <c r="L161" s="43"/>
      <c r="M161" s="9"/>
      <c r="N161" s="31"/>
      <c r="O161" s="31"/>
    </row>
    <row r="162" spans="1:15" ht="13.5" thickBot="1">
      <c r="A162" s="13"/>
      <c r="B162" s="22"/>
      <c r="C162" s="23"/>
      <c r="D162" s="23"/>
      <c r="E162" s="27"/>
      <c r="F162" s="30"/>
      <c r="G162" s="10"/>
      <c r="H162" s="24"/>
      <c r="I162" s="25"/>
      <c r="J162" s="45"/>
      <c r="K162" s="25"/>
      <c r="L162" s="45"/>
      <c r="M162" s="11"/>
    </row>
    <row r="163" spans="1:15" s="1" customFormat="1">
      <c r="A163" s="15">
        <f>A161+7</f>
        <v>43275</v>
      </c>
      <c r="B163" s="20">
        <f>C161+F161-G161</f>
        <v>10564.676601787301</v>
      </c>
      <c r="C163" s="17">
        <f>B163+(B163*0.04)</f>
        <v>10987.263665858794</v>
      </c>
      <c r="D163" s="17">
        <f>B163/3250</f>
        <v>3.2506697236268618</v>
      </c>
      <c r="E163" s="28">
        <f>(C163-B163)/D163</f>
        <v>130.00000000000028</v>
      </c>
      <c r="F163" s="26"/>
      <c r="G163" s="18"/>
      <c r="H163" s="19">
        <f>D163*50/B163</f>
        <v>1.5384615384615382E-2</v>
      </c>
      <c r="I163" s="18">
        <f>B163-(D163*1080)</f>
        <v>7053.9533002702901</v>
      </c>
      <c r="J163" s="43"/>
      <c r="K163" s="18"/>
      <c r="L163" s="43"/>
      <c r="M163" s="9"/>
      <c r="N163" s="31"/>
      <c r="O163" s="31"/>
    </row>
    <row r="164" spans="1:15" s="1" customFormat="1">
      <c r="A164" s="15">
        <f>A163+7</f>
        <v>43282</v>
      </c>
      <c r="B164" s="20">
        <f>C163+F163-G163</f>
        <v>10987.263665858794</v>
      </c>
      <c r="C164" s="17">
        <f>B164+(B164*0.04)</f>
        <v>11426.754212493146</v>
      </c>
      <c r="D164" s="17">
        <f>B164/3250</f>
        <v>3.3806965125719368</v>
      </c>
      <c r="E164" s="28">
        <f>(C164-B164)/D164</f>
        <v>129.99999999999994</v>
      </c>
      <c r="F164" s="18"/>
      <c r="G164" s="18"/>
      <c r="H164" s="19">
        <f>D164*50/B164</f>
        <v>1.5384615384615385E-2</v>
      </c>
      <c r="I164" s="18">
        <f>B164-(D164*1080)</f>
        <v>7336.1114322811027</v>
      </c>
      <c r="J164" s="43"/>
      <c r="K164" s="18"/>
      <c r="L164" s="43"/>
      <c r="M164" s="9"/>
    </row>
    <row r="165" spans="1:15" s="1" customFormat="1">
      <c r="A165" s="15">
        <f>A164+7</f>
        <v>43289</v>
      </c>
      <c r="B165" s="20">
        <f>C164+F164-G164</f>
        <v>11426.754212493146</v>
      </c>
      <c r="C165" s="17">
        <f>B165+(B165*0.04)</f>
        <v>11883.824380992872</v>
      </c>
      <c r="D165" s="17">
        <f>B165/3250</f>
        <v>3.5159243730748142</v>
      </c>
      <c r="E165" s="28">
        <f>(C165-B165)/D165</f>
        <v>129.99999999999994</v>
      </c>
      <c r="F165" s="18"/>
      <c r="G165" s="18"/>
      <c r="H165" s="19">
        <f>D165*50/B165</f>
        <v>1.5384615384615385E-2</v>
      </c>
      <c r="I165" s="18">
        <f>B165-(D165*1080)</f>
        <v>7629.5558895723461</v>
      </c>
      <c r="J165" s="43"/>
      <c r="K165" s="18"/>
      <c r="L165" s="43"/>
      <c r="M165" s="9"/>
      <c r="N165" s="31"/>
      <c r="O165" s="31"/>
    </row>
    <row r="166" spans="1:15" s="1" customFormat="1" ht="13.5" thickBot="1">
      <c r="A166" s="15">
        <f>A165+7</f>
        <v>43296</v>
      </c>
      <c r="B166" s="20">
        <f>C165+F165-G165</f>
        <v>11883.824380992872</v>
      </c>
      <c r="C166" s="17">
        <f>B166+(B166*0.04)</f>
        <v>12359.177356232587</v>
      </c>
      <c r="D166" s="17">
        <f>B166/3250</f>
        <v>3.6565613479978065</v>
      </c>
      <c r="E166" s="28">
        <f>(C166-B166)/D166</f>
        <v>130.00000000000011</v>
      </c>
      <c r="F166" s="81"/>
      <c r="G166" s="81"/>
      <c r="H166" s="19">
        <f>D166*50/B166</f>
        <v>1.5384615384615384E-2</v>
      </c>
      <c r="I166" s="18">
        <f>B166-(D166*1080)</f>
        <v>7934.7381251552406</v>
      </c>
      <c r="J166" s="43"/>
      <c r="K166" s="18"/>
      <c r="L166" s="43"/>
      <c r="M166" s="9"/>
      <c r="N166" s="31"/>
      <c r="O166" s="31"/>
    </row>
    <row r="167" spans="1:15" ht="13.5" thickBot="1">
      <c r="A167" s="13"/>
      <c r="B167" s="22"/>
      <c r="C167" s="23"/>
      <c r="D167" s="23"/>
      <c r="E167" s="27"/>
      <c r="F167" s="30"/>
      <c r="G167" s="10"/>
      <c r="H167" s="24"/>
      <c r="I167" s="25"/>
      <c r="J167" s="45"/>
      <c r="K167" s="25"/>
      <c r="L167" s="45"/>
      <c r="M167" s="11"/>
    </row>
    <row r="168" spans="1:15" s="1" customFormat="1">
      <c r="A168" s="15">
        <f>A166+7</f>
        <v>43303</v>
      </c>
      <c r="B168" s="20">
        <f>C166+F166-G166</f>
        <v>12359.177356232587</v>
      </c>
      <c r="C168" s="17">
        <f>B168+(B168*0.04)</f>
        <v>12853.54445048189</v>
      </c>
      <c r="D168" s="17">
        <f>B168/3250</f>
        <v>3.802823801917719</v>
      </c>
      <c r="E168" s="28">
        <f>(C168-B168)/D168</f>
        <v>129.9999999999998</v>
      </c>
      <c r="F168" s="26"/>
      <c r="G168" s="33"/>
      <c r="H168" s="19">
        <f>D168*50/B168</f>
        <v>1.5384615384615384E-2</v>
      </c>
      <c r="I168" s="18">
        <f>B168-(D168*1080)</f>
        <v>8252.1276501614502</v>
      </c>
      <c r="J168" s="43"/>
      <c r="K168" s="18"/>
      <c r="L168" s="43"/>
      <c r="M168" s="9"/>
      <c r="N168" s="31"/>
      <c r="O168" s="31"/>
    </row>
    <row r="169" spans="1:15" s="1" customFormat="1">
      <c r="A169" s="15">
        <f>A168+7</f>
        <v>43310</v>
      </c>
      <c r="B169" s="20">
        <f>C168+F168-G168</f>
        <v>12853.54445048189</v>
      </c>
      <c r="C169" s="17">
        <f>B169+(B169*0.04)</f>
        <v>13367.686228501165</v>
      </c>
      <c r="D169" s="17">
        <f>B169/3250</f>
        <v>3.9549367539944278</v>
      </c>
      <c r="E169" s="28">
        <f>(C169-B169)/D169</f>
        <v>129.99999999999986</v>
      </c>
      <c r="F169" s="26"/>
      <c r="G169" s="64"/>
      <c r="H169" s="19">
        <f>D169*50/B169</f>
        <v>1.5384615384615385E-2</v>
      </c>
      <c r="I169" s="18">
        <f>B169-(D169*1080)</f>
        <v>8582.2127561679081</v>
      </c>
      <c r="J169" s="43"/>
      <c r="K169" s="18"/>
      <c r="L169" s="43"/>
      <c r="M169" s="9"/>
    </row>
    <row r="170" spans="1:15" s="1" customFormat="1">
      <c r="A170" s="15">
        <f>A169+7</f>
        <v>43317</v>
      </c>
      <c r="B170" s="20">
        <f>C169+F169-G169</f>
        <v>13367.686228501165</v>
      </c>
      <c r="C170" s="17">
        <f>B170+(B170*0.04)</f>
        <v>13902.393677641212</v>
      </c>
      <c r="D170" s="17">
        <f>B170/3250</f>
        <v>4.1131342241542042</v>
      </c>
      <c r="E170" s="28">
        <f>(C170-B170)/D170</f>
        <v>130.00000000000014</v>
      </c>
      <c r="F170" s="26"/>
      <c r="G170" s="33"/>
      <c r="H170" s="19">
        <f>D170*50/B170</f>
        <v>1.5384615384615382E-2</v>
      </c>
      <c r="I170" s="18">
        <f>B170-(D170*1080)</f>
        <v>8925.5012664146234</v>
      </c>
      <c r="J170" s="43"/>
      <c r="K170" s="18"/>
      <c r="L170" s="43"/>
      <c r="M170" s="9"/>
    </row>
    <row r="171" spans="1:15" s="1" customFormat="1" ht="13.5" thickBot="1">
      <c r="A171" s="15">
        <f>A170+7</f>
        <v>43324</v>
      </c>
      <c r="B171" s="20">
        <f>C170+F170-G170</f>
        <v>13902.393677641212</v>
      </c>
      <c r="C171" s="17">
        <f>B171+(B171*0.04)</f>
        <v>14458.48942474686</v>
      </c>
      <c r="D171" s="17">
        <f>B171/3250</f>
        <v>4.2776595931203731</v>
      </c>
      <c r="E171" s="28">
        <f>(C171-B171)/D171</f>
        <v>129.99999999999991</v>
      </c>
      <c r="F171" s="81"/>
      <c r="G171" s="81"/>
      <c r="H171" s="19">
        <f>D171*50/B171</f>
        <v>1.5384615384615385E-2</v>
      </c>
      <c r="I171" s="18">
        <f>B171-(D171*1080)</f>
        <v>9282.5213170712086</v>
      </c>
      <c r="J171" s="43"/>
      <c r="K171" s="18"/>
      <c r="L171" s="43"/>
      <c r="M171" s="9"/>
    </row>
    <row r="172" spans="1:15" ht="13.5" thickBot="1">
      <c r="A172" s="13"/>
      <c r="B172" s="22"/>
      <c r="C172" s="23"/>
      <c r="D172" s="23"/>
      <c r="E172" s="27"/>
      <c r="F172" s="30"/>
      <c r="G172" s="10"/>
      <c r="H172" s="24"/>
      <c r="I172" s="25"/>
      <c r="J172" s="45"/>
      <c r="K172" s="25"/>
      <c r="L172" s="45"/>
      <c r="M172" s="11"/>
    </row>
    <row r="173" spans="1:15" s="1" customFormat="1">
      <c r="A173" s="15">
        <f>A171+7</f>
        <v>43331</v>
      </c>
      <c r="B173" s="20">
        <f>C171+F171-G171</f>
        <v>14458.48942474686</v>
      </c>
      <c r="C173" s="17">
        <f>B173+(B173*0.04)</f>
        <v>15036.829001736734</v>
      </c>
      <c r="D173" s="17">
        <f>B173/3250</f>
        <v>4.4487659768451877</v>
      </c>
      <c r="E173" s="28">
        <f>(C173-B173)/D173</f>
        <v>129.99999999999997</v>
      </c>
      <c r="F173" s="26"/>
      <c r="G173" s="18"/>
      <c r="H173" s="19">
        <f>D173*50/B173</f>
        <v>1.5384615384615384E-2</v>
      </c>
      <c r="I173" s="18">
        <f>B173-(D173*1080)</f>
        <v>9653.8221697540575</v>
      </c>
      <c r="J173" s="43"/>
      <c r="K173" s="18"/>
      <c r="L173" s="43"/>
      <c r="M173" s="9"/>
    </row>
    <row r="174" spans="1:15" s="1" customFormat="1">
      <c r="A174" s="15">
        <f>A173+7</f>
        <v>43338</v>
      </c>
      <c r="B174" s="20">
        <f>C173+F173-G173</f>
        <v>15036.829001736734</v>
      </c>
      <c r="C174" s="17">
        <f>B174+(B174*0.04)</f>
        <v>15638.302161806203</v>
      </c>
      <c r="D174" s="17">
        <f>B174/3250</f>
        <v>4.626716615918995</v>
      </c>
      <c r="E174" s="28">
        <f>(C174-B174)/D174</f>
        <v>129.99999999999983</v>
      </c>
      <c r="F174" s="18"/>
      <c r="G174" s="18"/>
      <c r="H174" s="19">
        <f>D174*50/B174</f>
        <v>1.5384615384615385E-2</v>
      </c>
      <c r="I174" s="18">
        <f>B174-(D174*1080)</f>
        <v>10039.975056544219</v>
      </c>
      <c r="J174" s="43"/>
      <c r="K174" s="18"/>
      <c r="L174" s="43"/>
      <c r="M174" s="9"/>
    </row>
    <row r="175" spans="1:15" s="1" customFormat="1">
      <c r="A175" s="15">
        <f>A174+7</f>
        <v>43345</v>
      </c>
      <c r="B175" s="20">
        <f>C174+F174-G174</f>
        <v>15638.302161806203</v>
      </c>
      <c r="C175" s="17">
        <f>B175+(B175*0.04)</f>
        <v>16263.834248278452</v>
      </c>
      <c r="D175" s="17">
        <f>B175/3250</f>
        <v>4.8117852805557551</v>
      </c>
      <c r="E175" s="28">
        <f>(C175-B175)/D175</f>
        <v>130.00000000000017</v>
      </c>
      <c r="F175" s="18"/>
      <c r="G175" s="18"/>
      <c r="H175" s="19">
        <f>D175*50/B175</f>
        <v>1.5384615384615385E-2</v>
      </c>
      <c r="I175" s="18">
        <f>B175-(D175*1080)</f>
        <v>10441.574058805989</v>
      </c>
      <c r="J175" s="43"/>
      <c r="K175" s="18"/>
      <c r="L175" s="43"/>
      <c r="M175" s="9"/>
    </row>
    <row r="176" spans="1:15" s="1" customFormat="1" ht="13.5" thickBot="1">
      <c r="A176" s="15">
        <f>A175+7</f>
        <v>43352</v>
      </c>
      <c r="B176" s="20">
        <f>C175+F175-G175</f>
        <v>16263.834248278452</v>
      </c>
      <c r="C176" s="17">
        <f>B176+(B176*0.04)</f>
        <v>16914.387618209588</v>
      </c>
      <c r="D176" s="17">
        <f>B176/3250</f>
        <v>5.0042566917779849</v>
      </c>
      <c r="E176" s="28">
        <f>(C176-B176)/D176</f>
        <v>129.99999999999966</v>
      </c>
      <c r="F176" s="81"/>
      <c r="G176" s="81"/>
      <c r="H176" s="19">
        <f>D176*50/B176</f>
        <v>1.5384615384615384E-2</v>
      </c>
      <c r="I176" s="18">
        <f>B176-(D176*1080)</f>
        <v>10859.237021158227</v>
      </c>
      <c r="J176" s="43"/>
      <c r="K176" s="18"/>
      <c r="L176" s="43"/>
      <c r="M176" s="9"/>
    </row>
    <row r="177" spans="1:13" ht="13.5" thickBot="1">
      <c r="A177" s="13"/>
      <c r="B177" s="22"/>
      <c r="C177" s="23"/>
      <c r="D177" s="23"/>
      <c r="E177" s="27"/>
      <c r="F177" s="30"/>
      <c r="G177" s="10"/>
      <c r="H177" s="24"/>
      <c r="I177" s="25"/>
      <c r="J177" s="45"/>
      <c r="K177" s="25"/>
      <c r="L177" s="45"/>
      <c r="M177" s="11"/>
    </row>
    <row r="178" spans="1:13" s="1" customFormat="1">
      <c r="A178" s="15">
        <f>A176+7</f>
        <v>43359</v>
      </c>
      <c r="B178" s="20">
        <f>C176+F176-G176</f>
        <v>16914.387618209588</v>
      </c>
      <c r="C178" s="17">
        <f>B178+(B178*0.04)</f>
        <v>17590.96312293797</v>
      </c>
      <c r="D178" s="17">
        <f>B178/3250</f>
        <v>5.2044269594491039</v>
      </c>
      <c r="E178" s="28">
        <f>(C178-B178)/D178</f>
        <v>129.99999999999969</v>
      </c>
      <c r="F178" s="26"/>
      <c r="G178" s="18"/>
      <c r="H178" s="19">
        <f>D178*50/B178</f>
        <v>1.5384615384615384E-2</v>
      </c>
      <c r="I178" s="18">
        <f>B178-(D178*1080)</f>
        <v>11293.606502004557</v>
      </c>
      <c r="J178" s="43"/>
      <c r="K178" s="18"/>
      <c r="L178" s="43"/>
      <c r="M178" s="9"/>
    </row>
    <row r="179" spans="1:13" s="1" customFormat="1">
      <c r="A179" s="15">
        <f>A178+7</f>
        <v>43366</v>
      </c>
      <c r="B179" s="20">
        <f>C178+F178-G178</f>
        <v>17590.96312293797</v>
      </c>
      <c r="C179" s="17">
        <f>B179+(B179*0.04)</f>
        <v>18294.601647855488</v>
      </c>
      <c r="D179" s="17">
        <f>B179/3250</f>
        <v>5.4126040378270677</v>
      </c>
      <c r="E179" s="28">
        <f>(C179-B179)/D179</f>
        <v>129.99999999999989</v>
      </c>
      <c r="F179" s="18"/>
      <c r="G179" s="18"/>
      <c r="H179" s="19">
        <f>D179*50/B179</f>
        <v>1.5384615384615385E-2</v>
      </c>
      <c r="I179" s="18">
        <f>B179-(D179*1080)</f>
        <v>11745.350762084738</v>
      </c>
      <c r="J179" s="43"/>
      <c r="K179" s="18"/>
      <c r="L179" s="43"/>
      <c r="M179" s="9"/>
    </row>
    <row r="180" spans="1:13" s="1" customFormat="1">
      <c r="A180" s="15">
        <f>A179+7</f>
        <v>43373</v>
      </c>
      <c r="B180" s="20">
        <f>C179+F179-G179</f>
        <v>18294.601647855488</v>
      </c>
      <c r="C180" s="17">
        <f>B180+(B180*0.04)</f>
        <v>19026.385713769709</v>
      </c>
      <c r="D180" s="17">
        <f>B180/3250</f>
        <v>5.6291081993401502</v>
      </c>
      <c r="E180" s="28">
        <f>(C180-B180)/D180</f>
        <v>130.00000000000014</v>
      </c>
      <c r="F180" s="18"/>
      <c r="G180" s="18"/>
      <c r="H180" s="19">
        <f>D180*50/B180</f>
        <v>1.5384615384615384E-2</v>
      </c>
      <c r="I180" s="18">
        <f>B180-(D180*1080)</f>
        <v>12215.164792568126</v>
      </c>
      <c r="J180" s="43"/>
      <c r="K180" s="18"/>
      <c r="L180" s="43"/>
      <c r="M180" s="9"/>
    </row>
    <row r="181" spans="1:13" s="1" customFormat="1" ht="13.5" thickBot="1">
      <c r="A181" s="15">
        <f>A180+7</f>
        <v>43380</v>
      </c>
      <c r="B181" s="20">
        <f>C180+F180-G180</f>
        <v>19026.385713769709</v>
      </c>
      <c r="C181" s="17">
        <f>B181+(B181*0.04)</f>
        <v>19787.441142320498</v>
      </c>
      <c r="D181" s="17">
        <f>B181/3250</f>
        <v>5.8542725273137561</v>
      </c>
      <c r="E181" s="28">
        <f>(C181-B181)/D181</f>
        <v>130.00000000000023</v>
      </c>
      <c r="F181" s="81"/>
      <c r="G181" s="81"/>
      <c r="H181" s="19">
        <f>D181*50/B181</f>
        <v>1.5384615384615382E-2</v>
      </c>
      <c r="I181" s="18">
        <f>B181-(D181*1080)</f>
        <v>12703.771384270851</v>
      </c>
      <c r="J181" s="43"/>
      <c r="K181" s="18"/>
      <c r="L181" s="43"/>
      <c r="M181" s="9"/>
    </row>
    <row r="182" spans="1:13" ht="13.5" thickBot="1">
      <c r="A182" s="13"/>
      <c r="B182" s="22"/>
      <c r="C182" s="23"/>
      <c r="D182" s="23"/>
      <c r="E182" s="27"/>
      <c r="F182" s="30"/>
      <c r="G182" s="10"/>
      <c r="H182" s="24"/>
      <c r="I182" s="25"/>
      <c r="J182" s="45"/>
      <c r="K182" s="25"/>
      <c r="L182" s="45"/>
      <c r="M182" s="11"/>
    </row>
    <row r="183" spans="1:13" s="1" customFormat="1">
      <c r="A183" s="15">
        <f>A181+7</f>
        <v>43387</v>
      </c>
      <c r="B183" s="20">
        <f>C181+F181-G181</f>
        <v>19787.441142320498</v>
      </c>
      <c r="C183" s="17">
        <f>B183+(B183*0.04)</f>
        <v>20578.938788013318</v>
      </c>
      <c r="D183" s="17">
        <f>B183/3250</f>
        <v>6.0884434284063076</v>
      </c>
      <c r="E183" s="28">
        <f>(C183-B183)/D183</f>
        <v>129.99999999999997</v>
      </c>
      <c r="F183" s="26"/>
      <c r="G183" s="18"/>
      <c r="H183" s="19">
        <f>D183*50/B183</f>
        <v>1.5384615384615387E-2</v>
      </c>
      <c r="I183" s="18">
        <f>B183-(D183*1080)</f>
        <v>13211.922239641686</v>
      </c>
      <c r="J183" s="43"/>
      <c r="K183" s="18"/>
      <c r="L183" s="43"/>
      <c r="M183" s="9"/>
    </row>
    <row r="184" spans="1:13" s="1" customFormat="1">
      <c r="A184" s="15">
        <f>A183+7</f>
        <v>43394</v>
      </c>
      <c r="B184" s="20">
        <f>C183+F183-G183</f>
        <v>20578.938788013318</v>
      </c>
      <c r="C184" s="17">
        <f>B184+(B184*0.04)</f>
        <v>21402.096339533851</v>
      </c>
      <c r="D184" s="17">
        <f>B184/3250</f>
        <v>6.3319811655425591</v>
      </c>
      <c r="E184" s="28">
        <f>(C184-B184)/D184</f>
        <v>130.00000000000009</v>
      </c>
      <c r="F184" s="18"/>
      <c r="G184" s="18"/>
      <c r="H184" s="19">
        <f>D184*50/B184</f>
        <v>1.5384615384615384E-2</v>
      </c>
      <c r="I184" s="18">
        <f>B184-(D184*1080)</f>
        <v>13740.399129227353</v>
      </c>
      <c r="J184" s="43"/>
      <c r="K184" s="18"/>
      <c r="L184" s="43"/>
      <c r="M184" s="9"/>
    </row>
    <row r="185" spans="1:13" s="1" customFormat="1">
      <c r="A185" s="15">
        <f>A184+7</f>
        <v>43401</v>
      </c>
      <c r="B185" s="20">
        <f>C184+F184-G184</f>
        <v>21402.096339533851</v>
      </c>
      <c r="C185" s="17">
        <f>B185+(B185*0.04)</f>
        <v>22258.180193115204</v>
      </c>
      <c r="D185" s="17">
        <f>B185/3250</f>
        <v>6.5852604121642617</v>
      </c>
      <c r="E185" s="28">
        <f>(C185-B185)/D185</f>
        <v>129.9999999999998</v>
      </c>
      <c r="F185" s="18"/>
      <c r="G185" s="18"/>
      <c r="H185" s="19">
        <f>D185*50/B185</f>
        <v>1.5384615384615384E-2</v>
      </c>
      <c r="I185" s="18">
        <f>B185-(D185*1080)</f>
        <v>14290.015094396449</v>
      </c>
      <c r="J185" s="43"/>
      <c r="K185" s="18"/>
      <c r="L185" s="43"/>
      <c r="M185" s="9"/>
    </row>
    <row r="186" spans="1:13" s="1" customFormat="1" ht="13.5" thickBot="1">
      <c r="A186" s="15">
        <f>A185+7</f>
        <v>43408</v>
      </c>
      <c r="B186" s="20">
        <f>C185+F185-G185</f>
        <v>22258.180193115204</v>
      </c>
      <c r="C186" s="17">
        <f>B186+(B186*0.04)</f>
        <v>23148.507400839811</v>
      </c>
      <c r="D186" s="17">
        <f>B186/3250</f>
        <v>6.8486708286508318</v>
      </c>
      <c r="E186" s="28">
        <f>(C186-B186)/D186</f>
        <v>129.99999999999989</v>
      </c>
      <c r="F186" s="81"/>
      <c r="G186" s="81"/>
      <c r="H186" s="19">
        <f>D186*50/B186</f>
        <v>1.5384615384615384E-2</v>
      </c>
      <c r="I186" s="18">
        <f>B186-(D186*1080)</f>
        <v>14861.615698172307</v>
      </c>
      <c r="J186" s="43"/>
      <c r="K186" s="18"/>
      <c r="L186" s="43"/>
      <c r="M186" s="9"/>
    </row>
    <row r="187" spans="1:13" ht="13.5" thickBot="1">
      <c r="A187" s="13"/>
      <c r="B187" s="22"/>
      <c r="C187" s="23"/>
      <c r="D187" s="23"/>
      <c r="E187" s="27"/>
      <c r="F187" s="30"/>
      <c r="G187" s="10"/>
      <c r="H187" s="24"/>
      <c r="I187" s="25"/>
      <c r="J187" s="45"/>
      <c r="K187" s="25"/>
      <c r="L187" s="45"/>
      <c r="M187" s="11"/>
    </row>
    <row r="188" spans="1:13" s="1" customFormat="1">
      <c r="A188" s="15">
        <f>A186+7</f>
        <v>43415</v>
      </c>
      <c r="B188" s="20">
        <f>C186+F186-G186</f>
        <v>23148.507400839811</v>
      </c>
      <c r="C188" s="17">
        <f>B188+(B188*0.04)</f>
        <v>24074.447696873405</v>
      </c>
      <c r="D188" s="17">
        <f>B188/3250</f>
        <v>7.1226176617968653</v>
      </c>
      <c r="E188" s="28">
        <f>(C188-B188)/D188</f>
        <v>130.00000000000017</v>
      </c>
      <c r="F188" s="26"/>
      <c r="G188" s="18"/>
      <c r="H188" s="19">
        <f>D188*50/B188</f>
        <v>1.5384615384615385E-2</v>
      </c>
      <c r="I188" s="18">
        <f>B188-(D188*1080)</f>
        <v>15456.080326099196</v>
      </c>
      <c r="J188" s="43"/>
      <c r="K188" s="18"/>
      <c r="L188" s="43"/>
      <c r="M188" s="9"/>
    </row>
    <row r="189" spans="1:13" s="1" customFormat="1">
      <c r="A189" s="15">
        <f>A188+7</f>
        <v>43422</v>
      </c>
      <c r="B189" s="20">
        <f>C188+F188-G188</f>
        <v>24074.447696873405</v>
      </c>
      <c r="C189" s="17">
        <f>B189+(B189*0.04)</f>
        <v>25037.425604748343</v>
      </c>
      <c r="D189" s="17">
        <f>B189/3250</f>
        <v>7.4075223682687401</v>
      </c>
      <c r="E189" s="28">
        <f>(C189-B189)/D189</f>
        <v>130.00000000000023</v>
      </c>
      <c r="F189" s="18"/>
      <c r="G189" s="18"/>
      <c r="H189" s="19">
        <f>D189*50/B189</f>
        <v>1.5384615384615384E-2</v>
      </c>
      <c r="I189" s="18">
        <f>B189-(D189*1080)</f>
        <v>16074.323539143166</v>
      </c>
      <c r="J189" s="43"/>
      <c r="K189" s="18"/>
      <c r="L189" s="43"/>
      <c r="M189" s="9"/>
    </row>
    <row r="190" spans="1:13" s="1" customFormat="1">
      <c r="A190" s="15">
        <f>A189+7</f>
        <v>43429</v>
      </c>
      <c r="B190" s="20">
        <f>C189+F189-G189</f>
        <v>25037.425604748343</v>
      </c>
      <c r="C190" s="17">
        <f>B190+(B190*0.04)</f>
        <v>26038.922628938279</v>
      </c>
      <c r="D190" s="17">
        <f>B190/3250</f>
        <v>7.7038232629994905</v>
      </c>
      <c r="E190" s="28">
        <f>(C190-B190)/D190</f>
        <v>130.00000000000023</v>
      </c>
      <c r="F190" s="18"/>
      <c r="G190" s="18"/>
      <c r="H190" s="19">
        <f>D190*50/B190</f>
        <v>1.5384615384615384E-2</v>
      </c>
      <c r="I190" s="18">
        <f>B190-(D190*1080)</f>
        <v>16717.296480708894</v>
      </c>
      <c r="J190" s="43"/>
      <c r="K190" s="18"/>
      <c r="L190" s="43"/>
      <c r="M190" s="9"/>
    </row>
    <row r="191" spans="1:13" s="1" customFormat="1" ht="13.5" thickBot="1">
      <c r="A191" s="15">
        <f>A190+7</f>
        <v>43436</v>
      </c>
      <c r="B191" s="20">
        <f>C190+F190-G190</f>
        <v>26038.922628938279</v>
      </c>
      <c r="C191" s="17">
        <f>B191+(B191*0.04)</f>
        <v>27080.479534095808</v>
      </c>
      <c r="D191" s="17">
        <f>B191/3250</f>
        <v>8.0119761935194695</v>
      </c>
      <c r="E191" s="28">
        <f>(C191-B191)/D191</f>
        <v>129.9999999999998</v>
      </c>
      <c r="F191" s="81"/>
      <c r="G191" s="81"/>
      <c r="H191" s="19">
        <f>D191*50/B191</f>
        <v>1.5384615384615384E-2</v>
      </c>
      <c r="I191" s="18">
        <f>B191-(D191*1080)</f>
        <v>17385.988339937252</v>
      </c>
      <c r="J191" s="43"/>
      <c r="K191" s="18"/>
      <c r="L191" s="43"/>
      <c r="M191" s="9"/>
    </row>
    <row r="192" spans="1:13" ht="13.5" thickBot="1">
      <c r="A192" s="13"/>
      <c r="B192" s="22"/>
      <c r="C192" s="23"/>
      <c r="D192" s="23"/>
      <c r="E192" s="27"/>
      <c r="F192" s="30"/>
      <c r="G192" s="10"/>
      <c r="H192" s="24"/>
      <c r="I192" s="25"/>
      <c r="J192" s="45"/>
      <c r="K192" s="25"/>
      <c r="L192" s="45"/>
      <c r="M192" s="11"/>
    </row>
    <row r="193" spans="1:13" s="1" customFormat="1">
      <c r="A193" s="15">
        <f>A191+7</f>
        <v>43443</v>
      </c>
      <c r="B193" s="20">
        <f>C191+F191-G191</f>
        <v>27080.479534095808</v>
      </c>
      <c r="C193" s="17">
        <f>B193+(B193*0.04)</f>
        <v>28163.698715459639</v>
      </c>
      <c r="D193" s="17">
        <f>B193/3250</f>
        <v>8.3324552412602486</v>
      </c>
      <c r="E193" s="28">
        <f>(C193-B193)/D193</f>
        <v>129.99999999999983</v>
      </c>
      <c r="F193" s="26"/>
      <c r="G193" s="18"/>
      <c r="H193" s="19">
        <f>D193*50/B193</f>
        <v>1.5384615384615384E-2</v>
      </c>
      <c r="I193" s="18">
        <f>B193-(D193*1080)</f>
        <v>18081.42787353474</v>
      </c>
      <c r="J193" s="43"/>
      <c r="K193" s="18"/>
      <c r="L193" s="43"/>
      <c r="M193" s="9"/>
    </row>
    <row r="194" spans="1:13" s="1" customFormat="1">
      <c r="A194" s="15">
        <f>A193+7</f>
        <v>43450</v>
      </c>
      <c r="B194" s="20">
        <f>C193+F193-G193</f>
        <v>28163.698715459639</v>
      </c>
      <c r="C194" s="17">
        <f>B194+(B194*0.04)</f>
        <v>29290.246664078026</v>
      </c>
      <c r="D194" s="17">
        <f>B194/3250</f>
        <v>8.6657534509106586</v>
      </c>
      <c r="E194" s="28">
        <f>(C194-B194)/D194</f>
        <v>130.00000000000011</v>
      </c>
      <c r="F194" s="18"/>
      <c r="G194" s="18"/>
      <c r="H194" s="19">
        <f>D194*50/B194</f>
        <v>1.5384615384615385E-2</v>
      </c>
      <c r="I194" s="18">
        <f>B194-(D194*1080)</f>
        <v>18804.684988476129</v>
      </c>
      <c r="J194" s="43"/>
      <c r="K194" s="18"/>
      <c r="L194" s="43"/>
      <c r="M194" s="9"/>
    </row>
    <row r="195" spans="1:13" s="1" customFormat="1">
      <c r="A195" s="15">
        <f>A194+7</f>
        <v>43457</v>
      </c>
      <c r="B195" s="20">
        <f>C194+F194-G194</f>
        <v>29290.246664078026</v>
      </c>
      <c r="C195" s="17">
        <f>B195+(B195*0.04)</f>
        <v>30461.856530641147</v>
      </c>
      <c r="D195" s="17">
        <f>B195/3250</f>
        <v>9.0123835889470847</v>
      </c>
      <c r="E195" s="28">
        <f>(C195-B195)/D195</f>
        <v>130.00000000000006</v>
      </c>
      <c r="F195" s="18"/>
      <c r="G195" s="18"/>
      <c r="H195" s="19">
        <f>D195*50/B195</f>
        <v>1.5384615384615384E-2</v>
      </c>
      <c r="I195" s="18">
        <f>B195-(D195*1080)</f>
        <v>19556.872388015174</v>
      </c>
      <c r="J195" s="43"/>
      <c r="K195" s="18"/>
      <c r="L195" s="43"/>
      <c r="M195" s="9"/>
    </row>
    <row r="196" spans="1:13" s="1" customFormat="1" ht="13.5" thickBot="1">
      <c r="A196" s="15">
        <f>A195+7</f>
        <v>43464</v>
      </c>
      <c r="B196" s="20">
        <f>C195+F195-G195</f>
        <v>30461.856530641147</v>
      </c>
      <c r="C196" s="17">
        <f>B196+(B196*0.04)</f>
        <v>31680.330791866792</v>
      </c>
      <c r="D196" s="17">
        <f>B196/3250</f>
        <v>9.3728789325049693</v>
      </c>
      <c r="E196" s="28">
        <f>(C196-B196)/D196</f>
        <v>129.99999999999989</v>
      </c>
      <c r="F196" s="81"/>
      <c r="G196" s="81"/>
      <c r="H196" s="19">
        <f>D196*50/B196</f>
        <v>1.5384615384615387E-2</v>
      </c>
      <c r="I196" s="18">
        <f>B196-(D196*1080)</f>
        <v>20339.147283535778</v>
      </c>
      <c r="J196" s="43"/>
      <c r="K196" s="18"/>
      <c r="L196" s="43"/>
      <c r="M196" s="9"/>
    </row>
    <row r="197" spans="1:13" ht="13.5" thickBot="1">
      <c r="A197" s="13"/>
      <c r="B197" s="22"/>
      <c r="C197" s="23"/>
      <c r="D197" s="23"/>
      <c r="E197" s="27"/>
      <c r="F197" s="30"/>
      <c r="G197" s="10"/>
      <c r="H197" s="24"/>
      <c r="I197" s="25"/>
      <c r="J197" s="45"/>
      <c r="K197" s="25"/>
      <c r="L197" s="45"/>
      <c r="M197" s="11"/>
    </row>
    <row r="198" spans="1:13" s="1" customFormat="1">
      <c r="A198" s="15">
        <f>A196+7</f>
        <v>43471</v>
      </c>
      <c r="B198" s="20">
        <f>C196+F196-G196</f>
        <v>31680.330791866792</v>
      </c>
      <c r="C198" s="17">
        <f>B198+(B198*0.04)</f>
        <v>32947.544023541464</v>
      </c>
      <c r="D198" s="17">
        <f>B198/3250</f>
        <v>9.7477940898051667</v>
      </c>
      <c r="E198" s="28">
        <f>(C198-B198)/D198</f>
        <v>130.00000000000003</v>
      </c>
      <c r="F198" s="26"/>
      <c r="G198" s="18"/>
      <c r="H198" s="19">
        <f>D198*50/B198</f>
        <v>1.5384615384615384E-2</v>
      </c>
      <c r="I198" s="18">
        <f>B198-(D198*1080)</f>
        <v>21152.713174877212</v>
      </c>
      <c r="J198" s="43"/>
      <c r="K198" s="18"/>
      <c r="L198" s="43"/>
      <c r="M198" s="9"/>
    </row>
    <row r="199" spans="1:13">
      <c r="A199" s="15">
        <f>A198+7</f>
        <v>43478</v>
      </c>
      <c r="B199" s="20">
        <f>C198+F198-G198</f>
        <v>32947.544023541464</v>
      </c>
      <c r="C199" s="17">
        <f>B199+(B199*0.04)</f>
        <v>34265.445784483119</v>
      </c>
      <c r="D199" s="17">
        <f>B199/3250</f>
        <v>10.137705853397375</v>
      </c>
      <c r="E199" s="28">
        <f>(C199-B199)/D199</f>
        <v>129.99999999999963</v>
      </c>
      <c r="F199" s="18"/>
      <c r="G199" s="18"/>
      <c r="H199" s="19">
        <f>D199*50/B199</f>
        <v>1.5384615384615385E-2</v>
      </c>
      <c r="I199" s="18">
        <f>B199-(D199*1080)</f>
        <v>21998.821701872301</v>
      </c>
      <c r="J199" s="43"/>
      <c r="K199" s="18"/>
      <c r="L199" s="43"/>
      <c r="M199" s="9"/>
    </row>
    <row r="200" spans="1:13">
      <c r="A200" s="15">
        <f>A199+7</f>
        <v>43485</v>
      </c>
      <c r="B200" s="20">
        <f>C199+F199-G199</f>
        <v>34265.445784483119</v>
      </c>
      <c r="C200" s="17">
        <f>B200+(B200*0.04)</f>
        <v>35636.063615862447</v>
      </c>
      <c r="D200" s="17">
        <f>B200/3250</f>
        <v>10.543214087533267</v>
      </c>
      <c r="E200" s="28">
        <f>(C200-B200)/D200</f>
        <v>130.00000000000031</v>
      </c>
      <c r="F200" s="18"/>
      <c r="G200" s="18"/>
      <c r="H200" s="19">
        <f>D200*50/B200</f>
        <v>1.5384615384615384E-2</v>
      </c>
      <c r="I200" s="18">
        <f>B200-(D200*1080)</f>
        <v>22878.774569947193</v>
      </c>
      <c r="J200" s="43"/>
      <c r="K200" s="18"/>
      <c r="L200" s="43"/>
      <c r="M200" s="9"/>
    </row>
    <row r="201" spans="1:13" ht="13.5" thickBot="1">
      <c r="A201" s="15">
        <f>A200+7</f>
        <v>43492</v>
      </c>
      <c r="B201" s="20">
        <f>C200+F200-G200</f>
        <v>35636.063615862447</v>
      </c>
      <c r="C201" s="17">
        <f>B201+(B201*0.04)</f>
        <v>37061.506160496945</v>
      </c>
      <c r="D201" s="17">
        <f>B201/3250</f>
        <v>10.964942651034599</v>
      </c>
      <c r="E201" s="28">
        <f>(C201-B201)/D201</f>
        <v>129.99999999999997</v>
      </c>
      <c r="F201" s="81"/>
      <c r="G201" s="81"/>
      <c r="H201" s="19">
        <f>D201*50/B201</f>
        <v>1.5384615384615384E-2</v>
      </c>
      <c r="I201" s="18">
        <f>B201-(D201*1080)</f>
        <v>23793.92555274508</v>
      </c>
      <c r="J201" s="43"/>
      <c r="K201" s="18"/>
      <c r="L201" s="43"/>
      <c r="M201" s="9"/>
    </row>
    <row r="202" spans="1:13" ht="13.5" thickBot="1">
      <c r="A202" s="13"/>
      <c r="B202" s="22"/>
      <c r="C202" s="23"/>
      <c r="D202" s="23"/>
      <c r="E202" s="27"/>
      <c r="F202" s="30"/>
      <c r="G202" s="10"/>
      <c r="H202" s="24"/>
      <c r="I202" s="25"/>
      <c r="J202" s="45"/>
      <c r="K202" s="25"/>
      <c r="L202" s="45"/>
      <c r="M202" s="11"/>
    </row>
    <row r="203" spans="1:13">
      <c r="A203" s="15">
        <f>A201+7</f>
        <v>43499</v>
      </c>
      <c r="B203" s="20">
        <f>C201+F201-G201</f>
        <v>37061.506160496945</v>
      </c>
      <c r="C203" s="17">
        <f>B203+(B203*0.04)</f>
        <v>38543.966406916821</v>
      </c>
      <c r="D203" s="17">
        <f>B203/3250</f>
        <v>11.403540357075983</v>
      </c>
      <c r="E203" s="28">
        <f>(C203-B203)/D203</f>
        <v>129.99999999999986</v>
      </c>
      <c r="F203" s="26"/>
      <c r="G203" s="33"/>
      <c r="H203" s="19">
        <f>D203*50/B203</f>
        <v>1.5384615384615385E-2</v>
      </c>
      <c r="I203" s="18">
        <f>B203-(D203*1080)</f>
        <v>24745.682574854884</v>
      </c>
      <c r="J203" s="43"/>
      <c r="K203" s="18"/>
      <c r="L203" s="43"/>
      <c r="M203" s="9"/>
    </row>
    <row r="204" spans="1:13">
      <c r="A204" s="15">
        <f>A203+7</f>
        <v>43506</v>
      </c>
      <c r="B204" s="20">
        <f>C203+F203-G203</f>
        <v>38543.966406916821</v>
      </c>
      <c r="C204" s="17">
        <f>B204+(B204*0.04)</f>
        <v>40085.725063193495</v>
      </c>
      <c r="D204" s="17">
        <f>B204/3250</f>
        <v>11.859681971359022</v>
      </c>
      <c r="E204" s="28">
        <f>(C204-B204)/D204</f>
        <v>130.00000000000009</v>
      </c>
      <c r="F204" s="26"/>
      <c r="G204" s="33"/>
      <c r="H204" s="19">
        <f>D204*50/B204</f>
        <v>1.5384615384615384E-2</v>
      </c>
      <c r="I204" s="18">
        <f>B204-(D204*1080)</f>
        <v>25735.509877849079</v>
      </c>
      <c r="J204" s="43"/>
      <c r="K204" s="18"/>
      <c r="L204" s="43"/>
      <c r="M204" s="9"/>
    </row>
    <row r="205" spans="1:13">
      <c r="A205" s="15">
        <f>A204+7</f>
        <v>43513</v>
      </c>
      <c r="B205" s="20">
        <f>C204+F204-G204</f>
        <v>40085.725063193495</v>
      </c>
      <c r="C205" s="17">
        <f>B205+(B205*0.04)</f>
        <v>41689.154065721232</v>
      </c>
      <c r="D205" s="17">
        <f>B205/3250</f>
        <v>12.334069250213384</v>
      </c>
      <c r="E205" s="28">
        <f>(C205-B205)/D205</f>
        <v>129.99999999999974</v>
      </c>
      <c r="F205" s="26"/>
      <c r="G205" s="33"/>
      <c r="H205" s="19">
        <f>D205*50/B205</f>
        <v>1.5384615384615385E-2</v>
      </c>
      <c r="I205" s="18">
        <f>B205-(D205*1080)</f>
        <v>26764.93027296304</v>
      </c>
      <c r="J205" s="43"/>
      <c r="K205" s="18"/>
      <c r="L205" s="43"/>
      <c r="M205" s="9"/>
    </row>
    <row r="206" spans="1:13" ht="13.5" thickBot="1">
      <c r="A206" s="15">
        <f>A205+7</f>
        <v>43520</v>
      </c>
      <c r="B206" s="20">
        <f>C205+F205-G205</f>
        <v>41689.154065721232</v>
      </c>
      <c r="C206" s="17">
        <f>B206+(B206*0.04)</f>
        <v>43356.720228350081</v>
      </c>
      <c r="D206" s="17">
        <f>B206/3250</f>
        <v>12.827432020221918</v>
      </c>
      <c r="E206" s="28">
        <f>(C206-B206)/D206</f>
        <v>130</v>
      </c>
      <c r="F206" s="81"/>
      <c r="G206" s="81"/>
      <c r="H206" s="19">
        <f>D206*50/B206</f>
        <v>1.5384615384615385E-2</v>
      </c>
      <c r="I206" s="18">
        <f>B206-(D206*1080)</f>
        <v>27835.52748388156</v>
      </c>
      <c r="J206" s="43"/>
      <c r="K206" s="18"/>
      <c r="L206" s="43"/>
      <c r="M206" s="9"/>
    </row>
    <row r="207" spans="1:13" ht="13.5" thickBot="1">
      <c r="A207" s="13"/>
      <c r="B207" s="22"/>
      <c r="C207" s="23"/>
      <c r="D207" s="23"/>
      <c r="E207" s="27"/>
      <c r="F207" s="30"/>
      <c r="G207" s="10"/>
      <c r="H207" s="24"/>
      <c r="I207" s="25"/>
      <c r="J207" s="45"/>
      <c r="K207" s="25"/>
      <c r="L207" s="45"/>
      <c r="M207" s="11"/>
    </row>
    <row r="208" spans="1:13">
      <c r="A208" s="15">
        <f>A206+7</f>
        <v>43527</v>
      </c>
      <c r="B208" s="20">
        <f>C206+F206-G206</f>
        <v>43356.720228350081</v>
      </c>
      <c r="C208" s="17">
        <f>B208+(B208*0.04)</f>
        <v>45090.989037484083</v>
      </c>
      <c r="D208" s="17">
        <f>B208/3250</f>
        <v>13.340529301030795</v>
      </c>
      <c r="E208" s="28">
        <f>(C208-B208)/D208</f>
        <v>129.99999999999991</v>
      </c>
      <c r="F208" s="26"/>
      <c r="G208" s="18"/>
      <c r="H208" s="19">
        <f>D208*50/B208</f>
        <v>1.5384615384615385E-2</v>
      </c>
      <c r="I208" s="18">
        <f>B208-(D208*1080)</f>
        <v>28948.948583236823</v>
      </c>
      <c r="J208" s="43"/>
      <c r="K208" s="18"/>
      <c r="L208" s="43"/>
      <c r="M208" s="9"/>
    </row>
    <row r="209" spans="1:13">
      <c r="A209" s="15">
        <f>A208+7</f>
        <v>43534</v>
      </c>
      <c r="B209" s="20">
        <f>C208+F208-G208</f>
        <v>45090.989037484083</v>
      </c>
      <c r="C209" s="17">
        <f>B209+(B209*0.04)</f>
        <v>46894.628598983443</v>
      </c>
      <c r="D209" s="17">
        <f>B209/3250</f>
        <v>13.874150473072026</v>
      </c>
      <c r="E209" s="28">
        <f>(C209-B209)/D209</f>
        <v>129.99999999999974</v>
      </c>
      <c r="F209" s="18"/>
      <c r="G209" s="18"/>
      <c r="H209" s="19">
        <f>D209*50/B209</f>
        <v>1.5384615384615385E-2</v>
      </c>
      <c r="I209" s="18">
        <f>B209-(D209*1080)</f>
        <v>30106.906526566294</v>
      </c>
      <c r="J209" s="43"/>
      <c r="K209" s="18"/>
      <c r="L209" s="43"/>
      <c r="M209" s="9"/>
    </row>
    <row r="210" spans="1:13">
      <c r="A210" s="15">
        <f>A209+7</f>
        <v>43541</v>
      </c>
      <c r="B210" s="20">
        <f>C209+F209-G209</f>
        <v>46894.628598983443</v>
      </c>
      <c r="C210" s="17">
        <f>B210+(B210*0.04)</f>
        <v>48770.413742942779</v>
      </c>
      <c r="D210" s="17">
        <f>B210/3250</f>
        <v>14.429116491994906</v>
      </c>
      <c r="E210" s="28">
        <f>(C210-B210)/D210</f>
        <v>129.99999999999989</v>
      </c>
      <c r="F210" s="18"/>
      <c r="G210" s="18"/>
      <c r="H210" s="19">
        <f>D210*50/B210</f>
        <v>1.5384615384615384E-2</v>
      </c>
      <c r="I210" s="18">
        <f>B210-(D210*1080)</f>
        <v>31311.182787628946</v>
      </c>
      <c r="J210" s="43"/>
      <c r="K210" s="18"/>
      <c r="L210" s="43"/>
      <c r="M210" s="9"/>
    </row>
    <row r="211" spans="1:13" ht="13.5" thickBot="1">
      <c r="A211" s="15">
        <f>A210+7</f>
        <v>43548</v>
      </c>
      <c r="B211" s="20">
        <f>C210+F210-G210</f>
        <v>48770.413742942779</v>
      </c>
      <c r="C211" s="17">
        <f>B211+(B211*0.04)</f>
        <v>50721.23029266049</v>
      </c>
      <c r="D211" s="17">
        <f>B211/3250</f>
        <v>15.006281151674701</v>
      </c>
      <c r="E211" s="28">
        <f>(C211-B211)/D211</f>
        <v>129.99999999999997</v>
      </c>
      <c r="F211" s="81"/>
      <c r="G211" s="81"/>
      <c r="H211" s="19">
        <f>D211*50/B211</f>
        <v>1.5384615384615384E-2</v>
      </c>
      <c r="I211" s="18">
        <f>B211-(D211*1080)</f>
        <v>32563.630099134105</v>
      </c>
      <c r="J211" s="43"/>
      <c r="K211" s="18"/>
      <c r="L211" s="43"/>
      <c r="M211" s="9"/>
    </row>
    <row r="212" spans="1:13" ht="13.5" thickBot="1">
      <c r="A212" s="13"/>
      <c r="B212" s="22"/>
      <c r="C212" s="23"/>
      <c r="D212" s="23"/>
      <c r="E212" s="27"/>
      <c r="F212" s="30"/>
      <c r="G212" s="10"/>
      <c r="H212" s="24"/>
      <c r="I212" s="25"/>
      <c r="J212" s="45"/>
      <c r="K212" s="25"/>
      <c r="L212" s="45"/>
      <c r="M212" s="11"/>
    </row>
    <row r="213" spans="1:13">
      <c r="A213" s="15">
        <f>A211+7</f>
        <v>43555</v>
      </c>
      <c r="B213" s="20">
        <f>C211+F211-G211</f>
        <v>50721.23029266049</v>
      </c>
      <c r="C213" s="17">
        <f>B213+(B213*0.04)</f>
        <v>52750.079504366906</v>
      </c>
      <c r="D213" s="17">
        <f>B213/3250</f>
        <v>15.60653239774169</v>
      </c>
      <c r="E213" s="28">
        <f>(C213-B213)/D213</f>
        <v>129.99999999999977</v>
      </c>
      <c r="F213" s="26"/>
      <c r="G213" s="18"/>
      <c r="H213" s="19">
        <f>D213*50/B213</f>
        <v>1.5384615384615385E-2</v>
      </c>
      <c r="I213" s="18">
        <f>B213-(D213*1080)</f>
        <v>33866.175303099466</v>
      </c>
      <c r="J213" s="43"/>
      <c r="K213" s="18"/>
      <c r="L213" s="43"/>
      <c r="M213" s="9"/>
    </row>
    <row r="214" spans="1:13">
      <c r="A214" s="15">
        <f>A213+7</f>
        <v>43562</v>
      </c>
      <c r="B214" s="20">
        <f>C213+F213-G213</f>
        <v>52750.079504366906</v>
      </c>
      <c r="C214" s="17">
        <f>B214+(B214*0.04)</f>
        <v>54860.08268454158</v>
      </c>
      <c r="D214" s="17">
        <f>B214/3250</f>
        <v>16.230793693651357</v>
      </c>
      <c r="E214" s="28">
        <f>(C214-B214)/D214</f>
        <v>129.99999999999983</v>
      </c>
      <c r="F214" s="18"/>
      <c r="G214" s="18"/>
      <c r="H214" s="19">
        <f>D214*50/B214</f>
        <v>1.5384615384615387E-2</v>
      </c>
      <c r="I214" s="18">
        <f>B214-(D214*1080)</f>
        <v>35220.822315223442</v>
      </c>
      <c r="J214" s="43"/>
      <c r="K214" s="18"/>
      <c r="L214" s="43"/>
      <c r="M214" s="9"/>
    </row>
    <row r="215" spans="1:13">
      <c r="A215" s="15">
        <f>A214+7</f>
        <v>43569</v>
      </c>
      <c r="B215" s="20">
        <f>C214+F214-G214</f>
        <v>54860.08268454158</v>
      </c>
      <c r="C215" s="17">
        <f>B215+(B215*0.04)</f>
        <v>57054.48599192324</v>
      </c>
      <c r="D215" s="17">
        <f>B215/3250</f>
        <v>16.880025441397407</v>
      </c>
      <c r="E215" s="28">
        <f>(C215-B215)/D215</f>
        <v>129.99999999999989</v>
      </c>
      <c r="F215" s="18"/>
      <c r="G215" s="18"/>
      <c r="H215" s="19">
        <f>D215*50/B215</f>
        <v>1.5384615384615382E-2</v>
      </c>
      <c r="I215" s="18">
        <f>B215-(D215*1080)</f>
        <v>36629.65520783238</v>
      </c>
      <c r="J215" s="43"/>
      <c r="K215" s="18"/>
      <c r="L215" s="43"/>
      <c r="M215" s="9"/>
    </row>
    <row r="216" spans="1:13" ht="13.5" thickBot="1">
      <c r="A216" s="15">
        <f>A215+7</f>
        <v>43576</v>
      </c>
      <c r="B216" s="20">
        <f>C215+F215-G215</f>
        <v>57054.48599192324</v>
      </c>
      <c r="C216" s="17">
        <f>B216+(B216*0.04)</f>
        <v>59336.665431600173</v>
      </c>
      <c r="D216" s="17">
        <f>B216/3250</f>
        <v>17.555226459053305</v>
      </c>
      <c r="E216" s="28">
        <f>(C216-B216)/D216</f>
        <v>130.00000000000017</v>
      </c>
      <c r="F216" s="81"/>
      <c r="G216" s="81"/>
      <c r="H216" s="19">
        <f>D216*50/B216</f>
        <v>1.5384615384615385E-2</v>
      </c>
      <c r="I216" s="18">
        <f>B216-(D216*1080)</f>
        <v>38094.841416145675</v>
      </c>
      <c r="J216" s="43"/>
      <c r="K216" s="18"/>
      <c r="L216" s="43"/>
      <c r="M216" s="9"/>
    </row>
    <row r="217" spans="1:13" ht="13.5" thickBot="1">
      <c r="A217" s="13"/>
      <c r="B217" s="22"/>
      <c r="C217" s="23"/>
      <c r="D217" s="23"/>
      <c r="E217" s="27"/>
      <c r="F217" s="30"/>
      <c r="G217" s="10"/>
      <c r="H217" s="24"/>
      <c r="I217" s="25"/>
      <c r="J217" s="45"/>
      <c r="K217" s="25"/>
      <c r="L217" s="45"/>
      <c r="M217" s="11"/>
    </row>
    <row r="218" spans="1:13">
      <c r="A218" s="15">
        <f>A216+7</f>
        <v>43583</v>
      </c>
      <c r="B218" s="20">
        <f>C216+F216-G216</f>
        <v>59336.665431600173</v>
      </c>
      <c r="C218" s="17">
        <f>B218+(B218*0.04)</f>
        <v>61710.13204886418</v>
      </c>
      <c r="D218" s="17">
        <f>B218/3250</f>
        <v>18.257435517415438</v>
      </c>
      <c r="E218" s="28">
        <f>(C218-B218)/D218</f>
        <v>129.99999999999997</v>
      </c>
      <c r="F218" s="26"/>
      <c r="G218" s="18"/>
      <c r="H218" s="19">
        <f>D218*50/B218</f>
        <v>1.5384615384615385E-2</v>
      </c>
      <c r="I218" s="18">
        <f>B218-(D218*1080)</f>
        <v>39618.635072791498</v>
      </c>
      <c r="J218" s="43"/>
      <c r="K218" s="18"/>
      <c r="L218" s="43"/>
      <c r="M218" s="9"/>
    </row>
    <row r="219" spans="1:13">
      <c r="A219" s="15">
        <f>A218+7</f>
        <v>43590</v>
      </c>
      <c r="B219" s="20">
        <f>C218+F218-G218</f>
        <v>61710.13204886418</v>
      </c>
      <c r="C219" s="17">
        <f>B219+(B219*0.04)</f>
        <v>64178.537330818748</v>
      </c>
      <c r="D219" s="17">
        <f>B219/3250</f>
        <v>18.987732938112057</v>
      </c>
      <c r="E219" s="28">
        <f>(C219-B219)/D219</f>
        <v>130.00000000000006</v>
      </c>
      <c r="F219" s="18"/>
      <c r="G219" s="18"/>
      <c r="H219" s="19">
        <f>D219*50/B219</f>
        <v>1.5384615384615385E-2</v>
      </c>
      <c r="I219" s="18">
        <f>B219-(D219*1080)</f>
        <v>41203.380475703161</v>
      </c>
      <c r="J219" s="43"/>
      <c r="K219" s="18"/>
      <c r="L219" s="43"/>
      <c r="M219" s="9"/>
    </row>
    <row r="220" spans="1:13">
      <c r="A220" s="15">
        <f>A219+7</f>
        <v>43597</v>
      </c>
      <c r="B220" s="20">
        <f>C219+F219-G219</f>
        <v>64178.537330818748</v>
      </c>
      <c r="C220" s="17">
        <f>B220+(B220*0.04)</f>
        <v>66745.678824051502</v>
      </c>
      <c r="D220" s="17">
        <f>B220/3250</f>
        <v>19.747242255636539</v>
      </c>
      <c r="E220" s="28">
        <f>(C220-B220)/D220</f>
        <v>130.00000000000017</v>
      </c>
      <c r="F220" s="18"/>
      <c r="G220" s="18"/>
      <c r="H220" s="19">
        <f>D220*50/B220</f>
        <v>1.5384615384615387E-2</v>
      </c>
      <c r="I220" s="18">
        <f>B220-(D220*1080)</f>
        <v>42851.515694731286</v>
      </c>
      <c r="J220" s="43"/>
      <c r="K220" s="18"/>
      <c r="L220" s="43"/>
      <c r="M220" s="9"/>
    </row>
    <row r="221" spans="1:13" ht="13.5" thickBot="1">
      <c r="A221" s="15">
        <f>A220+7</f>
        <v>43604</v>
      </c>
      <c r="B221" s="20">
        <f>C220+F220-G220</f>
        <v>66745.678824051502</v>
      </c>
      <c r="C221" s="17">
        <f>B221+(B221*0.04)</f>
        <v>69415.505977013556</v>
      </c>
      <c r="D221" s="17">
        <f>B221/3250</f>
        <v>20.537131945862001</v>
      </c>
      <c r="E221" s="28">
        <f>(C221-B221)/D221</f>
        <v>129.99999999999972</v>
      </c>
      <c r="F221" s="81"/>
      <c r="G221" s="81"/>
      <c r="H221" s="19">
        <f>D221*50/B221</f>
        <v>1.5384615384615385E-2</v>
      </c>
      <c r="I221" s="18">
        <f>B221-(D221*1080)</f>
        <v>44565.576322520545</v>
      </c>
      <c r="J221" s="43"/>
      <c r="K221" s="18"/>
      <c r="L221" s="43"/>
      <c r="M221" s="9"/>
    </row>
    <row r="222" spans="1:13" ht="13.5" thickBot="1">
      <c r="A222" s="13"/>
      <c r="B222" s="22"/>
      <c r="C222" s="23"/>
      <c r="D222" s="23"/>
      <c r="E222" s="27"/>
      <c r="F222" s="30"/>
      <c r="G222" s="10"/>
      <c r="H222" s="24"/>
      <c r="I222" s="25"/>
      <c r="J222" s="45"/>
      <c r="K222" s="25"/>
      <c r="L222" s="45"/>
      <c r="M222" s="11"/>
    </row>
    <row r="223" spans="1:13">
      <c r="A223" s="15">
        <f>A221+7</f>
        <v>43611</v>
      </c>
      <c r="B223" s="20">
        <f>C221+F221-G221</f>
        <v>69415.505977013556</v>
      </c>
      <c r="C223" s="17">
        <f>B223+(B223*0.04)</f>
        <v>72192.126216094097</v>
      </c>
      <c r="D223" s="17">
        <f>B223/3250</f>
        <v>21.358617223696477</v>
      </c>
      <c r="E223" s="28">
        <f>(C223-B223)/D223</f>
        <v>129.99999999999994</v>
      </c>
      <c r="F223" s="26"/>
      <c r="G223" s="33"/>
      <c r="H223" s="19">
        <f>D223*50/B223</f>
        <v>1.5384615384615384E-2</v>
      </c>
      <c r="I223" s="18">
        <f>B223-(D223*1080)</f>
        <v>46348.199375421362</v>
      </c>
      <c r="J223" s="43"/>
      <c r="K223" s="18"/>
      <c r="L223" s="43"/>
      <c r="M223" s="9"/>
    </row>
    <row r="224" spans="1:13">
      <c r="A224" s="15">
        <f>A223+7</f>
        <v>43618</v>
      </c>
      <c r="B224" s="20">
        <f>C223+F223-G223</f>
        <v>72192.126216094097</v>
      </c>
      <c r="C224" s="17">
        <f>B224+(B224*0.04)</f>
        <v>75079.811264737858</v>
      </c>
      <c r="D224" s="17">
        <f>B224/3250</f>
        <v>22.212961912644339</v>
      </c>
      <c r="E224" s="28">
        <f>(C224-B224)/D224</f>
        <v>129.99999999999989</v>
      </c>
      <c r="F224" s="26"/>
      <c r="G224" s="33"/>
      <c r="H224" s="19">
        <f>D224*50/B224</f>
        <v>1.5384615384615384E-2</v>
      </c>
      <c r="I224" s="18">
        <f>B224-(D224*1080)</f>
        <v>48202.127350438212</v>
      </c>
      <c r="J224" s="43"/>
      <c r="K224" s="18"/>
      <c r="L224" s="43"/>
      <c r="M224" s="9"/>
    </row>
    <row r="225" spans="1:13">
      <c r="A225" s="15">
        <f>A224+7</f>
        <v>43625</v>
      </c>
      <c r="B225" s="20">
        <f>C224+F224-G224</f>
        <v>75079.811264737858</v>
      </c>
      <c r="C225" s="17">
        <f>B225+(B225*0.04)</f>
        <v>78083.003715327373</v>
      </c>
      <c r="D225" s="17">
        <f>B225/3250</f>
        <v>23.101480389150112</v>
      </c>
      <c r="E225" s="28">
        <f>(C225-B225)/D225</f>
        <v>130.00000000000003</v>
      </c>
      <c r="F225" s="26"/>
      <c r="G225" s="33"/>
      <c r="H225" s="19">
        <f>D225*50/B225</f>
        <v>1.5384615384615385E-2</v>
      </c>
      <c r="I225" s="18">
        <f>B225-(D225*1080)</f>
        <v>50130.212444455741</v>
      </c>
      <c r="J225" s="43"/>
      <c r="K225" s="18"/>
      <c r="L225" s="43"/>
      <c r="M225" s="9"/>
    </row>
    <row r="226" spans="1:13">
      <c r="A226" s="15">
        <f>A225+7</f>
        <v>43632</v>
      </c>
      <c r="B226" s="20">
        <f>C225+F225-G225</f>
        <v>78083.003715327373</v>
      </c>
      <c r="C226" s="17">
        <f>B226+(B226*0.04)</f>
        <v>81206.323863940474</v>
      </c>
      <c r="D226" s="17">
        <f>B226/3250</f>
        <v>24.025539604716116</v>
      </c>
      <c r="E226" s="28">
        <f>(C226-B226)/D226</f>
        <v>130.00000000000023</v>
      </c>
      <c r="F226" s="26"/>
      <c r="G226" s="33"/>
      <c r="H226" s="19">
        <f>D226*50/B226</f>
        <v>1.5384615384615384E-2</v>
      </c>
      <c r="I226" s="18">
        <f>B226-(D226*1080)</f>
        <v>52135.42094223397</v>
      </c>
      <c r="J226" s="43"/>
      <c r="K226" s="18"/>
      <c r="L226" s="43"/>
      <c r="M226" s="9"/>
    </row>
    <row r="227" spans="1:13" ht="14.25" customHeight="1" thickBot="1">
      <c r="A227" s="15">
        <f>A226+7</f>
        <v>43639</v>
      </c>
      <c r="B227" s="20">
        <f>C226+F226-G226</f>
        <v>81206.323863940474</v>
      </c>
      <c r="C227" s="17">
        <f>B227+(B227*0.04)</f>
        <v>84454.576818498099</v>
      </c>
      <c r="D227" s="17">
        <f>B227/3250</f>
        <v>24.986561188904762</v>
      </c>
      <c r="E227" s="28">
        <f>(C227-B227)/D227</f>
        <v>130.00000000000026</v>
      </c>
      <c r="F227" s="81"/>
      <c r="G227" s="81"/>
      <c r="H227" s="19">
        <f>D227*50/B227</f>
        <v>1.5384615384615385E-2</v>
      </c>
      <c r="I227" s="18">
        <f>B227-(D227*1080)</f>
        <v>54220.837779923328</v>
      </c>
      <c r="J227" s="43"/>
      <c r="K227" s="18"/>
      <c r="L227" s="43"/>
      <c r="M227" s="9"/>
    </row>
    <row r="228" spans="1:13" ht="13.5" thickBot="1">
      <c r="A228" s="13"/>
      <c r="B228" s="22"/>
      <c r="C228" s="23"/>
      <c r="D228" s="23"/>
      <c r="E228" s="27"/>
      <c r="F228" s="30"/>
      <c r="G228" s="10"/>
      <c r="H228" s="24"/>
      <c r="I228" s="25"/>
      <c r="J228" s="45"/>
      <c r="K228" s="25"/>
      <c r="L228" s="45"/>
      <c r="M228" s="11"/>
    </row>
  </sheetData>
  <mergeCells count="1">
    <mergeCell ref="A1:M1"/>
  </mergeCells>
  <pageMargins left="0.7" right="0.7" top="0.75" bottom="0.75" header="0.3" footer="0.3"/>
  <pageSetup paperSize="9" orientation="portrait" r:id="rId1"/>
  <ignoredErrors>
    <ignoredError sqref="C76 C81" formula="1"/>
  </ignoredError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J139"/>
  <sheetViews>
    <sheetView tabSelected="1" zoomScaleNormal="100" workbookViewId="0">
      <selection activeCell="C18" sqref="C18"/>
    </sheetView>
  </sheetViews>
  <sheetFormatPr defaultColWidth="9.140625" defaultRowHeight="12.75"/>
  <cols>
    <col min="2" max="2" width="9.5703125" customWidth="1"/>
    <col min="3" max="3" width="10.5703125" bestFit="1" customWidth="1"/>
    <col min="4" max="4" width="6.5703125" bestFit="1" customWidth="1"/>
    <col min="5" max="5" width="6" bestFit="1" customWidth="1"/>
    <col min="6" max="6" width="8.7109375" bestFit="1" customWidth="1"/>
    <col min="7" max="7" width="12" bestFit="1" customWidth="1"/>
    <col min="8" max="8" width="9" bestFit="1" customWidth="1"/>
  </cols>
  <sheetData>
    <row r="1" spans="1:10" ht="16.5" thickBot="1">
      <c r="A1" s="97"/>
      <c r="B1" s="98"/>
      <c r="C1" s="98"/>
      <c r="D1" s="98"/>
      <c r="E1" s="98"/>
      <c r="F1" s="98"/>
      <c r="G1" s="98"/>
      <c r="H1" s="98"/>
    </row>
    <row r="2" spans="1:10" ht="18.75" customHeight="1" thickBot="1">
      <c r="A2" s="3" t="s">
        <v>3</v>
      </c>
      <c r="B2" s="4" t="s">
        <v>4</v>
      </c>
      <c r="C2" s="5" t="s">
        <v>5</v>
      </c>
      <c r="D2" s="5" t="s">
        <v>13</v>
      </c>
      <c r="E2" s="5" t="s">
        <v>14</v>
      </c>
      <c r="F2" s="5" t="s">
        <v>6</v>
      </c>
      <c r="G2" s="5" t="s">
        <v>6</v>
      </c>
      <c r="H2" s="14" t="s">
        <v>15</v>
      </c>
    </row>
    <row r="3" spans="1:10" ht="13.5" thickBot="1">
      <c r="A3" s="3" t="s">
        <v>8</v>
      </c>
      <c r="B3" s="7" t="s">
        <v>9</v>
      </c>
      <c r="C3" s="8" t="s">
        <v>9</v>
      </c>
      <c r="D3" s="8" t="s">
        <v>17</v>
      </c>
      <c r="E3" s="8" t="s">
        <v>18</v>
      </c>
      <c r="F3" s="8" t="s">
        <v>10</v>
      </c>
      <c r="G3" s="8" t="s">
        <v>11</v>
      </c>
      <c r="H3" s="14" t="s">
        <v>19</v>
      </c>
    </row>
    <row r="4" spans="1:10">
      <c r="A4" s="15">
        <v>42883</v>
      </c>
      <c r="B4" s="20">
        <v>5300.8</v>
      </c>
      <c r="C4" s="17">
        <f>B4+(B4*0.035)</f>
        <v>5486.3280000000004</v>
      </c>
      <c r="D4" s="17">
        <f>B4/3250</f>
        <v>1.6310153846153848</v>
      </c>
      <c r="E4" s="34">
        <f>(C4-B4)/D4</f>
        <v>113.75000000000014</v>
      </c>
      <c r="F4" s="26"/>
      <c r="G4" s="18"/>
      <c r="H4" s="19">
        <f>D4*50/B4</f>
        <v>1.5384615384615385E-2</v>
      </c>
    </row>
    <row r="5" spans="1:10">
      <c r="A5" s="15">
        <f>A4+7</f>
        <v>42890</v>
      </c>
      <c r="B5" s="20">
        <f>C4</f>
        <v>5486.3280000000004</v>
      </c>
      <c r="C5" s="17">
        <f>B5+(B5*0.1312)</f>
        <v>6206.1342336000007</v>
      </c>
      <c r="D5" s="17">
        <f>B5/3250</f>
        <v>1.6881009230769233</v>
      </c>
      <c r="E5" s="34">
        <f>(C5-B5)/D5</f>
        <v>426.40000000000009</v>
      </c>
      <c r="F5" s="18"/>
      <c r="G5" s="18"/>
      <c r="H5" s="19">
        <f>D5*50/B5</f>
        <v>1.5384615384615384E-2</v>
      </c>
    </row>
    <row r="6" spans="1:10">
      <c r="A6" s="15">
        <f>A5+7</f>
        <v>42897</v>
      </c>
      <c r="B6" s="20">
        <f>C5+F5-G5</f>
        <v>6206.1342336000007</v>
      </c>
      <c r="C6" s="17">
        <f>B6+(B6*0.014)</f>
        <v>6293.0201128704011</v>
      </c>
      <c r="D6" s="17">
        <f>B6/3250</f>
        <v>1.9095797641846155</v>
      </c>
      <c r="E6" s="34">
        <f>(C6-B6)/D6</f>
        <v>45.500000000000227</v>
      </c>
      <c r="F6" s="18">
        <v>200</v>
      </c>
      <c r="G6" s="18"/>
      <c r="H6" s="19">
        <f>D6*50/B6</f>
        <v>1.5384615384615384E-2</v>
      </c>
    </row>
    <row r="7" spans="1:10" ht="13.5" thickBot="1">
      <c r="A7" s="15">
        <f>A6+7</f>
        <v>42904</v>
      </c>
      <c r="B7" s="20">
        <f>C6+F6-G6</f>
        <v>6493.0201128704011</v>
      </c>
      <c r="C7" s="17">
        <f>B7+(B7*0)</f>
        <v>6493.0201128704011</v>
      </c>
      <c r="D7" s="17">
        <f>B7/3250</f>
        <v>1.9978523424216619</v>
      </c>
      <c r="E7" s="34">
        <f>(C7-B7)/D7</f>
        <v>0</v>
      </c>
      <c r="F7" s="26"/>
      <c r="G7" s="18"/>
      <c r="H7" s="19">
        <f>D7*50/B7</f>
        <v>1.5384615384615384E-2</v>
      </c>
    </row>
    <row r="8" spans="1:10" ht="13.5" thickBot="1">
      <c r="A8" s="13"/>
      <c r="B8" s="22"/>
      <c r="C8" s="23"/>
      <c r="D8" s="23"/>
      <c r="E8" s="27"/>
      <c r="F8" s="30"/>
      <c r="G8" s="10"/>
      <c r="H8" s="24"/>
    </row>
    <row r="9" spans="1:10">
      <c r="A9" s="15">
        <f>A7+7</f>
        <v>42911</v>
      </c>
      <c r="B9" s="20">
        <f>C7+F7-G7</f>
        <v>6493.0201128704011</v>
      </c>
      <c r="C9" s="17">
        <f>B9+(B9*0.015)</f>
        <v>6590.4154145634575</v>
      </c>
      <c r="D9" s="17">
        <f>B9/3250</f>
        <v>1.9978523424216619</v>
      </c>
      <c r="E9" s="34">
        <f>(C9-B9)/D9</f>
        <v>48.750000000000171</v>
      </c>
      <c r="F9" s="26"/>
      <c r="G9" s="18"/>
      <c r="H9" s="19">
        <f>D9*50/B9</f>
        <v>1.5384615384615384E-2</v>
      </c>
    </row>
    <row r="10" spans="1:10" s="1" customFormat="1">
      <c r="A10" s="15">
        <f>A9+7</f>
        <v>42918</v>
      </c>
      <c r="B10" s="20">
        <f>C9+F9-G9</f>
        <v>6590.4154145634575</v>
      </c>
      <c r="C10" s="17">
        <f>B10+(B10*0.054)</f>
        <v>6946.2978469498839</v>
      </c>
      <c r="D10" s="17">
        <f>B10/3250</f>
        <v>2.027820127557987</v>
      </c>
      <c r="E10" s="34">
        <f>(C10-B10)/D10</f>
        <v>175.49999999999986</v>
      </c>
      <c r="F10" s="18"/>
      <c r="G10" s="18"/>
      <c r="H10" s="19">
        <f>D10*50/B10</f>
        <v>1.5384615384615384E-2</v>
      </c>
    </row>
    <row r="11" spans="1:10" s="1" customFormat="1">
      <c r="A11" s="15">
        <f>A10+7</f>
        <v>42925</v>
      </c>
      <c r="B11" s="20">
        <f>C10+F10-G10</f>
        <v>6946.2978469498839</v>
      </c>
      <c r="C11" s="17">
        <f>B11+(B11*0.0483)</f>
        <v>7281.8040329575633</v>
      </c>
      <c r="D11" s="17">
        <f>B11/3250</f>
        <v>2.137322414446118</v>
      </c>
      <c r="E11" s="34">
        <f>(C11-B11)/D11</f>
        <v>156.97499999999999</v>
      </c>
      <c r="F11" s="18"/>
      <c r="G11" s="18"/>
      <c r="H11" s="19">
        <f>D11*50/B11</f>
        <v>1.5384615384615385E-2</v>
      </c>
    </row>
    <row r="12" spans="1:10" s="1" customFormat="1" ht="13.5" thickBot="1">
      <c r="A12" s="15">
        <f>A11+7</f>
        <v>42932</v>
      </c>
      <c r="B12" s="20">
        <f>C11+F11-G11</f>
        <v>7281.8040329575633</v>
      </c>
      <c r="C12" s="17">
        <f>B12+(B12*-0.074)</f>
        <v>6742.9505345187035</v>
      </c>
      <c r="D12" s="17">
        <f>B12/3250</f>
        <v>2.2405550870638655</v>
      </c>
      <c r="E12" s="37">
        <f>(C12-B12)/D12</f>
        <v>-240.50000000000006</v>
      </c>
      <c r="F12" s="26"/>
      <c r="G12" s="18"/>
      <c r="H12" s="19">
        <f>D12*50/B12</f>
        <v>1.5384615384615384E-2</v>
      </c>
    </row>
    <row r="13" spans="1:10" ht="13.5" thickBot="1">
      <c r="A13" s="13"/>
      <c r="B13" s="22"/>
      <c r="C13" s="23"/>
      <c r="D13" s="23"/>
      <c r="E13" s="27"/>
      <c r="F13" s="30"/>
      <c r="G13" s="10"/>
      <c r="H13" s="24"/>
      <c r="J13" s="86"/>
    </row>
    <row r="14" spans="1:10" s="1" customFormat="1">
      <c r="A14" s="15">
        <f>A12+7</f>
        <v>42939</v>
      </c>
      <c r="B14" s="20">
        <f>C12+F12-G12</f>
        <v>6742.9505345187035</v>
      </c>
      <c r="C14" s="17">
        <f>B14+(B14*0.0427)</f>
        <v>7030.8745223426522</v>
      </c>
      <c r="D14" s="17">
        <f>B14/3250</f>
        <v>2.0747540106211395</v>
      </c>
      <c r="E14" s="34">
        <f>(C14-B14)/D14</f>
        <v>138.77500000000001</v>
      </c>
      <c r="F14" s="18">
        <v>1492</v>
      </c>
      <c r="G14" s="18"/>
      <c r="H14" s="19">
        <f>D14*50/B14</f>
        <v>1.5384615384615384E-2</v>
      </c>
    </row>
    <row r="15" spans="1:10" s="1" customFormat="1">
      <c r="A15" s="15">
        <f>A14+7</f>
        <v>42946</v>
      </c>
      <c r="B15" s="83">
        <f>C14+F14-G14</f>
        <v>8522.8745223426522</v>
      </c>
      <c r="C15" s="17">
        <f>B15+(B15*0.04)</f>
        <v>8863.7895032363576</v>
      </c>
      <c r="D15" s="17">
        <f>B15/3250</f>
        <v>2.6224229299515853</v>
      </c>
      <c r="E15" s="28">
        <f>(C15-B15)/D15</f>
        <v>129.99999999999974</v>
      </c>
      <c r="F15" s="18"/>
      <c r="G15" s="18"/>
      <c r="H15" s="19">
        <f>D15*50/B15</f>
        <v>1.5384615384615385E-2</v>
      </c>
    </row>
    <row r="16" spans="1:10" s="1" customFormat="1">
      <c r="A16" s="15">
        <f>A15+7</f>
        <v>42953</v>
      </c>
      <c r="B16" s="20">
        <f>C15+F15-G15</f>
        <v>8863.7895032363576</v>
      </c>
      <c r="C16" s="17">
        <f>B16+(B16*0.04)</f>
        <v>9218.3410833658127</v>
      </c>
      <c r="D16" s="17">
        <f>B16/3250</f>
        <v>2.7273198471496487</v>
      </c>
      <c r="E16" s="28">
        <f>(C16-B16)/D16</f>
        <v>130.00000000000026</v>
      </c>
      <c r="F16" s="18"/>
      <c r="G16" s="18"/>
      <c r="H16" s="19">
        <f>D16*50/B16</f>
        <v>1.5384615384615387E-2</v>
      </c>
    </row>
    <row r="17" spans="1:8" s="1" customFormat="1" ht="13.5" thickBot="1">
      <c r="A17" s="15">
        <f>A16+7</f>
        <v>42960</v>
      </c>
      <c r="B17" s="20">
        <f>C16+F16-G16</f>
        <v>9218.3410833658127</v>
      </c>
      <c r="C17" s="17">
        <f>B17+(B17*0.04)</f>
        <v>9587.0747267004444</v>
      </c>
      <c r="D17" s="17">
        <f>B17/3250</f>
        <v>2.8364126410356345</v>
      </c>
      <c r="E17" s="28">
        <f>(C17-B17)/D17</f>
        <v>129.99999999999974</v>
      </c>
      <c r="F17" s="26"/>
      <c r="G17" s="18"/>
      <c r="H17" s="19">
        <f>D17*50/B17</f>
        <v>1.5384615384615384E-2</v>
      </c>
    </row>
    <row r="18" spans="1:8" ht="13.5" thickBot="1">
      <c r="A18" s="13"/>
      <c r="B18" s="22"/>
      <c r="C18" s="23"/>
      <c r="D18" s="23"/>
      <c r="E18" s="27"/>
      <c r="F18" s="30"/>
      <c r="G18" s="10"/>
      <c r="H18" s="24"/>
    </row>
    <row r="19" spans="1:8" s="1" customFormat="1">
      <c r="A19" s="15">
        <f>A17+7</f>
        <v>42967</v>
      </c>
      <c r="B19" s="20">
        <f>C17+F17-G17</f>
        <v>9587.0747267004444</v>
      </c>
      <c r="C19" s="17">
        <f>B19+(B19*0.04)</f>
        <v>9970.557715768462</v>
      </c>
      <c r="D19" s="17">
        <f>B19/3250</f>
        <v>2.9498691466770599</v>
      </c>
      <c r="E19" s="28">
        <f>(C19-B19)/D19</f>
        <v>129.99999999999991</v>
      </c>
      <c r="F19" s="26"/>
      <c r="G19" s="18"/>
      <c r="H19" s="19">
        <f>D19*50/B19</f>
        <v>1.5384615384615385E-2</v>
      </c>
    </row>
    <row r="20" spans="1:8" s="1" customFormat="1">
      <c r="A20" s="15">
        <f>A19+7</f>
        <v>42974</v>
      </c>
      <c r="B20" s="20">
        <f>C19+F19-G19</f>
        <v>9970.557715768462</v>
      </c>
      <c r="C20" s="17">
        <f>B20+(B20*0.04)</f>
        <v>10369.380024399201</v>
      </c>
      <c r="D20" s="17">
        <f>B20/3250</f>
        <v>3.067863912544142</v>
      </c>
      <c r="E20" s="28">
        <f>(C20-B20)/D20</f>
        <v>130.00000000000014</v>
      </c>
      <c r="F20" s="18"/>
      <c r="G20" s="18"/>
      <c r="H20" s="19">
        <f>D20*50/B20</f>
        <v>1.5384615384615384E-2</v>
      </c>
    </row>
    <row r="21" spans="1:8" s="1" customFormat="1">
      <c r="A21" s="15">
        <f>A20+7</f>
        <v>42981</v>
      </c>
      <c r="B21" s="20">
        <f>C20+F20-G20</f>
        <v>10369.380024399201</v>
      </c>
      <c r="C21" s="17">
        <f>B21+(B21*0.04)</f>
        <v>10784.155225375169</v>
      </c>
      <c r="D21" s="17">
        <f>B21/3250</f>
        <v>3.1905784690459078</v>
      </c>
      <c r="E21" s="28">
        <f>(C21-B21)/D21</f>
        <v>129.99999999999997</v>
      </c>
      <c r="F21" s="18"/>
      <c r="G21" s="18"/>
      <c r="H21" s="19">
        <f>D21*50/B21</f>
        <v>1.5384615384615385E-2</v>
      </c>
    </row>
    <row r="22" spans="1:8" s="1" customFormat="1" ht="13.5" thickBot="1">
      <c r="A22" s="15">
        <f>A21+7</f>
        <v>42988</v>
      </c>
      <c r="B22" s="20">
        <f>C21+F21-G21</f>
        <v>10784.155225375169</v>
      </c>
      <c r="C22" s="17">
        <f>B22+(B22*0.04)</f>
        <v>11215.521434390175</v>
      </c>
      <c r="D22" s="17">
        <f>B22/3250</f>
        <v>3.3182016078077443</v>
      </c>
      <c r="E22" s="28">
        <f>(C22-B22)/D22</f>
        <v>129.99999999999991</v>
      </c>
      <c r="F22" s="26"/>
      <c r="G22" s="18"/>
      <c r="H22" s="19">
        <f>D22*50/B22</f>
        <v>1.5384615384615384E-2</v>
      </c>
    </row>
    <row r="23" spans="1:8" ht="13.5" thickBot="1">
      <c r="A23" s="13"/>
      <c r="B23" s="22"/>
      <c r="C23" s="23"/>
      <c r="D23" s="23"/>
      <c r="E23" s="27"/>
      <c r="F23" s="30"/>
      <c r="G23" s="10"/>
      <c r="H23" s="24"/>
    </row>
    <row r="24" spans="1:8" s="1" customFormat="1">
      <c r="A24" s="15">
        <f>A22+7</f>
        <v>42995</v>
      </c>
      <c r="B24" s="20">
        <f>C22+F22-G22</f>
        <v>11215.521434390175</v>
      </c>
      <c r="C24" s="17">
        <f>B24+(B24*0.04)</f>
        <v>11664.142291765782</v>
      </c>
      <c r="D24" s="17">
        <f>B24/3250</f>
        <v>3.4509296721200537</v>
      </c>
      <c r="E24" s="28">
        <f>(C24-B24)/D24</f>
        <v>129.99999999999991</v>
      </c>
      <c r="F24" s="26"/>
      <c r="G24" s="18"/>
      <c r="H24" s="19">
        <f>D24*50/B24</f>
        <v>1.5384615384615384E-2</v>
      </c>
    </row>
    <row r="25" spans="1:8" s="1" customFormat="1">
      <c r="A25" s="15">
        <f>A24+7</f>
        <v>43002</v>
      </c>
      <c r="B25" s="20">
        <f>C24+F24-G24</f>
        <v>11664.142291765782</v>
      </c>
      <c r="C25" s="17">
        <f>B25+(B25*0.04)</f>
        <v>12130.707983436414</v>
      </c>
      <c r="D25" s="17">
        <f>B25/3250</f>
        <v>3.5889668590048558</v>
      </c>
      <c r="E25" s="28">
        <f>(C25-B25)/D25</f>
        <v>130.00000000000023</v>
      </c>
      <c r="F25" s="18"/>
      <c r="G25" s="18"/>
      <c r="H25" s="19">
        <f>D25*50/B25</f>
        <v>1.5384615384615384E-2</v>
      </c>
    </row>
    <row r="26" spans="1:8" s="1" customFormat="1">
      <c r="A26" s="15">
        <f>A25+7</f>
        <v>43009</v>
      </c>
      <c r="B26" s="20">
        <f>C25+F25-G25</f>
        <v>12130.707983436414</v>
      </c>
      <c r="C26" s="17">
        <f>B26+(B26*0.04)</f>
        <v>12615.936302773871</v>
      </c>
      <c r="D26" s="17">
        <f>B26/3250</f>
        <v>3.7325255333650507</v>
      </c>
      <c r="E26" s="28">
        <f>(C26-B26)/D26</f>
        <v>130.00000000000009</v>
      </c>
      <c r="F26" s="18"/>
      <c r="G26" s="18"/>
      <c r="H26" s="19">
        <f>D26*50/B26</f>
        <v>1.5384615384615385E-2</v>
      </c>
    </row>
    <row r="27" spans="1:8" s="1" customFormat="1" ht="13.5" thickBot="1">
      <c r="A27" s="15">
        <f>A26+7</f>
        <v>43016</v>
      </c>
      <c r="B27" s="20">
        <f>C26+F26-G26</f>
        <v>12615.936302773871</v>
      </c>
      <c r="C27" s="17">
        <f>B27+(B27*0.04)</f>
        <v>13120.573754884826</v>
      </c>
      <c r="D27" s="17">
        <f>B27/3250</f>
        <v>3.8818265546996527</v>
      </c>
      <c r="E27" s="28">
        <f>(C27-B27)/D27</f>
        <v>130.0000000000002</v>
      </c>
      <c r="F27" s="26"/>
      <c r="G27" s="18"/>
      <c r="H27" s="19">
        <f>D27*50/B27</f>
        <v>1.5384615384615384E-2</v>
      </c>
    </row>
    <row r="28" spans="1:8" ht="13.5" thickBot="1">
      <c r="A28" s="13"/>
      <c r="B28" s="22"/>
      <c r="C28" s="23"/>
      <c r="D28" s="23"/>
      <c r="E28" s="27"/>
      <c r="F28" s="30"/>
      <c r="G28" s="10"/>
      <c r="H28" s="24"/>
    </row>
    <row r="29" spans="1:8" s="1" customFormat="1">
      <c r="A29" s="15">
        <f>A27+7</f>
        <v>43023</v>
      </c>
      <c r="B29" s="20">
        <f>C27+F27-G27</f>
        <v>13120.573754884826</v>
      </c>
      <c r="C29" s="17">
        <f>B29+(B29*0.04)</f>
        <v>13645.39670508022</v>
      </c>
      <c r="D29" s="17">
        <f>B29/3250</f>
        <v>4.0370996168876392</v>
      </c>
      <c r="E29" s="28">
        <f>(C29-B29)/D29</f>
        <v>130.00000000000017</v>
      </c>
      <c r="F29" s="26"/>
      <c r="G29" s="18"/>
      <c r="H29" s="19">
        <f>D29*50/B29</f>
        <v>1.5384615384615387E-2</v>
      </c>
    </row>
    <row r="30" spans="1:8" s="1" customFormat="1">
      <c r="A30" s="15">
        <f>A29+7</f>
        <v>43030</v>
      </c>
      <c r="B30" s="20">
        <f>C29+F29-G29</f>
        <v>13645.39670508022</v>
      </c>
      <c r="C30" s="17">
        <f>B30+(B30*0.04)</f>
        <v>14191.212573283428</v>
      </c>
      <c r="D30" s="17">
        <f>B30/3250</f>
        <v>4.1985836015631444</v>
      </c>
      <c r="E30" s="28">
        <f>(C30-B30)/D30</f>
        <v>129.99999999999983</v>
      </c>
      <c r="F30" s="18"/>
      <c r="G30" s="18"/>
      <c r="H30" s="19">
        <f>D30*50/B30</f>
        <v>1.5384615384615384E-2</v>
      </c>
    </row>
    <row r="31" spans="1:8" s="1" customFormat="1">
      <c r="A31" s="15">
        <f>A30+7</f>
        <v>43037</v>
      </c>
      <c r="B31" s="20">
        <f>C30+F30-G30</f>
        <v>14191.212573283428</v>
      </c>
      <c r="C31" s="17">
        <f>B31+(B31*0.04)</f>
        <v>14758.861076214765</v>
      </c>
      <c r="D31" s="17">
        <f>B31/3250</f>
        <v>4.3665269456256706</v>
      </c>
      <c r="E31" s="28">
        <f>(C31-B31)/D31</f>
        <v>130</v>
      </c>
      <c r="F31" s="18"/>
      <c r="G31" s="18"/>
      <c r="H31" s="19">
        <f>D31*50/B31</f>
        <v>1.5384615384615385E-2</v>
      </c>
    </row>
    <row r="32" spans="1:8" s="1" customFormat="1" ht="13.5" thickBot="1">
      <c r="A32" s="15">
        <f>A31+7</f>
        <v>43044</v>
      </c>
      <c r="B32" s="20">
        <f>C31+F31-G31</f>
        <v>14758.861076214765</v>
      </c>
      <c r="C32" s="17">
        <f>B32+(B32*0.04)</f>
        <v>15349.215519263356</v>
      </c>
      <c r="D32" s="17">
        <f>B32/3250</f>
        <v>4.5411880234506974</v>
      </c>
      <c r="E32" s="28">
        <f>(C32-B32)/D32</f>
        <v>130.00000000000003</v>
      </c>
      <c r="F32" s="26"/>
      <c r="G32" s="18"/>
      <c r="H32" s="19">
        <f>D32*50/B32</f>
        <v>1.5384615384615385E-2</v>
      </c>
    </row>
    <row r="33" spans="1:8" ht="13.5" thickBot="1">
      <c r="A33" s="13"/>
      <c r="B33" s="22"/>
      <c r="C33" s="23"/>
      <c r="D33" s="23"/>
      <c r="E33" s="27"/>
      <c r="F33" s="30"/>
      <c r="G33" s="10"/>
      <c r="H33" s="24"/>
    </row>
    <row r="34" spans="1:8" s="1" customFormat="1">
      <c r="A34" s="15">
        <f>A32+7</f>
        <v>43051</v>
      </c>
      <c r="B34" s="20">
        <f>C32+F32-G32</f>
        <v>15349.215519263356</v>
      </c>
      <c r="C34" s="17">
        <f>B34+(B34*0.04)</f>
        <v>15963.184140033891</v>
      </c>
      <c r="D34" s="17">
        <f>B34/3250</f>
        <v>4.7228355443887251</v>
      </c>
      <c r="E34" s="28">
        <f>(C34-B34)/D34</f>
        <v>130.00000000000006</v>
      </c>
      <c r="F34" s="26"/>
      <c r="G34" s="18"/>
      <c r="H34" s="19">
        <f>D34*50/B34</f>
        <v>1.5384615384615384E-2</v>
      </c>
    </row>
    <row r="35" spans="1:8" s="1" customFormat="1">
      <c r="A35" s="15">
        <f>A34+7</f>
        <v>43058</v>
      </c>
      <c r="B35" s="20">
        <f>C34+F34-G34</f>
        <v>15963.184140033891</v>
      </c>
      <c r="C35" s="17">
        <f>B35+(B35*0.04)</f>
        <v>16601.711505635245</v>
      </c>
      <c r="D35" s="17">
        <f>B35/3250</f>
        <v>4.9117489661642741</v>
      </c>
      <c r="E35" s="28">
        <f>(C35-B35)/D35</f>
        <v>129.99999999999972</v>
      </c>
      <c r="F35" s="18"/>
      <c r="G35" s="18"/>
      <c r="H35" s="19">
        <f>D35*50/B35</f>
        <v>1.5384615384615385E-2</v>
      </c>
    </row>
    <row r="36" spans="1:8" s="1" customFormat="1">
      <c r="A36" s="15">
        <f>A35+7</f>
        <v>43065</v>
      </c>
      <c r="B36" s="20">
        <f>C35+F35-G35</f>
        <v>16601.711505635245</v>
      </c>
      <c r="C36" s="17">
        <f>B36+(B36*0.04)</f>
        <v>17265.779965860656</v>
      </c>
      <c r="D36" s="17">
        <f>B36/3250</f>
        <v>5.1082189248108447</v>
      </c>
      <c r="E36" s="28">
        <f>(C36-B36)/D36</f>
        <v>130.00000000000031</v>
      </c>
      <c r="F36" s="18"/>
      <c r="G36" s="18"/>
      <c r="H36" s="19">
        <f>D36*50/B36</f>
        <v>1.5384615384615385E-2</v>
      </c>
    </row>
    <row r="37" spans="1:8" s="1" customFormat="1" ht="13.5" thickBot="1">
      <c r="A37" s="15">
        <f>A36+7</f>
        <v>43072</v>
      </c>
      <c r="B37" s="20">
        <f>C36+F36-G36</f>
        <v>17265.779965860656</v>
      </c>
      <c r="C37" s="17">
        <f>B37+(B37*0.04)</f>
        <v>17956.411164495083</v>
      </c>
      <c r="D37" s="17">
        <f>B37/3250</f>
        <v>5.3125476818032791</v>
      </c>
      <c r="E37" s="28">
        <f>(C37-B37)/D37</f>
        <v>130</v>
      </c>
      <c r="F37" s="26"/>
      <c r="G37" s="18"/>
      <c r="H37" s="19">
        <f>D37*50/B37</f>
        <v>1.5384615384615385E-2</v>
      </c>
    </row>
    <row r="38" spans="1:8" ht="13.5" thickBot="1">
      <c r="A38" s="13"/>
      <c r="B38" s="22"/>
      <c r="C38" s="23"/>
      <c r="D38" s="23"/>
      <c r="E38" s="27"/>
      <c r="F38" s="30"/>
      <c r="G38" s="10"/>
      <c r="H38" s="24"/>
    </row>
    <row r="39" spans="1:8" s="1" customFormat="1">
      <c r="A39" s="15">
        <f>A37+7</f>
        <v>43079</v>
      </c>
      <c r="B39" s="20">
        <f>C37+F37-G37</f>
        <v>17956.411164495083</v>
      </c>
      <c r="C39" s="17">
        <f>B39+(B39*0.04)</f>
        <v>18674.667611074885</v>
      </c>
      <c r="D39" s="17">
        <f>B39/3250</f>
        <v>5.5250495890754099</v>
      </c>
      <c r="E39" s="28">
        <f>(C39-B39)/D39</f>
        <v>129.99999999999983</v>
      </c>
      <c r="F39" s="26"/>
      <c r="G39" s="18"/>
      <c r="H39" s="19">
        <f>D39*50/B39</f>
        <v>1.5384615384615384E-2</v>
      </c>
    </row>
    <row r="40" spans="1:8" s="1" customFormat="1">
      <c r="A40" s="15">
        <f>A39+7</f>
        <v>43086</v>
      </c>
      <c r="B40" s="20">
        <f>C39+F39-G39</f>
        <v>18674.667611074885</v>
      </c>
      <c r="C40" s="17">
        <f>B40+(B40*0.04)</f>
        <v>19421.654315517881</v>
      </c>
      <c r="D40" s="17">
        <f>B40/3250</f>
        <v>5.746051572638426</v>
      </c>
      <c r="E40" s="28">
        <f>(C40-B40)/D40</f>
        <v>130.00000000000006</v>
      </c>
      <c r="F40" s="18"/>
      <c r="G40" s="18"/>
      <c r="H40" s="19">
        <f>D40*50/B40</f>
        <v>1.5384615384615384E-2</v>
      </c>
    </row>
    <row r="41" spans="1:8" s="1" customFormat="1">
      <c r="A41" s="15">
        <f>A40+7</f>
        <v>43093</v>
      </c>
      <c r="B41" s="20">
        <f>C40+F40-G40</f>
        <v>19421.654315517881</v>
      </c>
      <c r="C41" s="17">
        <f>B41+(B41*0.04)</f>
        <v>20198.520488138594</v>
      </c>
      <c r="D41" s="17">
        <f>B41/3250</f>
        <v>5.9758936355439634</v>
      </c>
      <c r="E41" s="28">
        <f>(C41-B41)/D41</f>
        <v>129.99999999999974</v>
      </c>
      <c r="F41" s="18"/>
      <c r="G41" s="18"/>
      <c r="H41" s="19">
        <f>D41*50/B41</f>
        <v>1.5384615384615384E-2</v>
      </c>
    </row>
    <row r="42" spans="1:8" s="1" customFormat="1" ht="13.5" thickBot="1">
      <c r="A42" s="15">
        <f>A41+7</f>
        <v>43100</v>
      </c>
      <c r="B42" s="20">
        <f>C41+F41-G41</f>
        <v>20198.520488138594</v>
      </c>
      <c r="C42" s="17">
        <f>B42+(B42*0.04)</f>
        <v>21006.46130766414</v>
      </c>
      <c r="D42" s="17">
        <f>B42/3250</f>
        <v>6.2149293809657218</v>
      </c>
      <c r="E42" s="28">
        <f>(C42-B42)/D42</f>
        <v>130.00000000000028</v>
      </c>
      <c r="F42" s="26"/>
      <c r="G42" s="18"/>
      <c r="H42" s="19">
        <f>D42*50/B42</f>
        <v>1.5384615384615385E-2</v>
      </c>
    </row>
    <row r="43" spans="1:8" ht="13.5" thickBot="1">
      <c r="A43" s="13"/>
      <c r="B43" s="22"/>
      <c r="C43" s="23"/>
      <c r="D43" s="23"/>
      <c r="E43" s="27"/>
      <c r="F43" s="30"/>
      <c r="G43" s="10"/>
      <c r="H43" s="24"/>
    </row>
    <row r="44" spans="1:8" s="1" customFormat="1">
      <c r="A44" s="15">
        <f>A42+7</f>
        <v>43107</v>
      </c>
      <c r="B44" s="20">
        <f>C42+F42-G42</f>
        <v>21006.46130766414</v>
      </c>
      <c r="C44" s="17">
        <f>B44+(B44*0.04)</f>
        <v>21846.719759970707</v>
      </c>
      <c r="D44" s="17">
        <f>B44/3250</f>
        <v>6.4635265562043509</v>
      </c>
      <c r="E44" s="28">
        <f>(C44-B44)/D44</f>
        <v>130.00000000000023</v>
      </c>
      <c r="F44" s="26"/>
      <c r="G44" s="52"/>
      <c r="H44" s="19">
        <f>D44*50/B44</f>
        <v>1.5384615384615385E-2</v>
      </c>
    </row>
    <row r="45" spans="1:8" s="1" customFormat="1">
      <c r="A45" s="15">
        <f>A44+7</f>
        <v>43114</v>
      </c>
      <c r="B45" s="20">
        <f>C44+F44-G44</f>
        <v>21846.719759970707</v>
      </c>
      <c r="C45" s="17">
        <f>B45+(B45*0.04)</f>
        <v>22720.588550369535</v>
      </c>
      <c r="D45" s="17">
        <f>B45/3250</f>
        <v>6.7220676184525257</v>
      </c>
      <c r="E45" s="28">
        <f>(C45-B45)/D45</f>
        <v>130</v>
      </c>
      <c r="F45" s="26"/>
      <c r="G45" s="33"/>
      <c r="H45" s="19">
        <f>D45*50/B45</f>
        <v>1.5384615384615385E-2</v>
      </c>
    </row>
    <row r="46" spans="1:8" s="1" customFormat="1">
      <c r="A46" s="15">
        <f>A45+7</f>
        <v>43121</v>
      </c>
      <c r="B46" s="20">
        <f>C45+F45-G45</f>
        <v>22720.588550369535</v>
      </c>
      <c r="C46" s="17">
        <f>B46+(B46*0.04)</f>
        <v>23629.412092384318</v>
      </c>
      <c r="D46" s="17">
        <f>B46/3250</f>
        <v>6.990950323190626</v>
      </c>
      <c r="E46" s="28">
        <f>(C46-B46)/D46</f>
        <v>130.00000000000023</v>
      </c>
      <c r="F46" s="26"/>
      <c r="G46" s="33"/>
      <c r="H46" s="19">
        <f>D46*50/B46</f>
        <v>1.5384615384615384E-2</v>
      </c>
    </row>
    <row r="47" spans="1:8" s="1" customFormat="1" ht="13.5" thickBot="1">
      <c r="A47" s="15">
        <f>A46+7</f>
        <v>43128</v>
      </c>
      <c r="B47" s="20">
        <f>C46+F46-G46</f>
        <v>23629.412092384318</v>
      </c>
      <c r="C47" s="17">
        <f>B47+(B47*0.04)</f>
        <v>24574.588576079692</v>
      </c>
      <c r="D47" s="17">
        <f>B47/3250</f>
        <v>7.2705883361182515</v>
      </c>
      <c r="E47" s="28">
        <f>(C47-B47)/D47</f>
        <v>130.00000000000011</v>
      </c>
      <c r="F47" s="26"/>
      <c r="G47" s="33"/>
      <c r="H47" s="19">
        <f>D47*50/B47</f>
        <v>1.5384615384615382E-2</v>
      </c>
    </row>
    <row r="48" spans="1:8" ht="13.5" thickBot="1">
      <c r="A48" s="13"/>
      <c r="B48" s="22"/>
      <c r="C48" s="23"/>
      <c r="D48" s="23"/>
      <c r="E48" s="27"/>
      <c r="F48" s="30"/>
      <c r="G48" s="10"/>
      <c r="H48" s="24"/>
    </row>
    <row r="49" spans="1:8" s="1" customFormat="1">
      <c r="A49" s="15">
        <f>A47+7</f>
        <v>43135</v>
      </c>
      <c r="B49" s="20">
        <f>C47+F47-G47</f>
        <v>24574.588576079692</v>
      </c>
      <c r="C49" s="17">
        <f>B49+(B49*0.04)</f>
        <v>25557.57211912288</v>
      </c>
      <c r="D49" s="17">
        <f>B49/3250</f>
        <v>7.5614118695629822</v>
      </c>
      <c r="E49" s="28">
        <f>(C49-B49)/D49</f>
        <v>130.00000000000011</v>
      </c>
      <c r="F49" s="26"/>
      <c r="G49" s="33"/>
      <c r="H49" s="19">
        <f>D49*50/B49</f>
        <v>1.5384615384615385E-2</v>
      </c>
    </row>
    <row r="50" spans="1:8" s="1" customFormat="1">
      <c r="A50" s="15">
        <f>A49+7</f>
        <v>43142</v>
      </c>
      <c r="B50" s="20">
        <f>C49+F49-G49</f>
        <v>25557.57211912288</v>
      </c>
      <c r="C50" s="17">
        <f>B50+(B50*0.04)</f>
        <v>26579.875003887795</v>
      </c>
      <c r="D50" s="17">
        <f>B50/3250</f>
        <v>7.8638683443455015</v>
      </c>
      <c r="E50" s="28">
        <f>(C50-B50)/D50</f>
        <v>129.99999999999994</v>
      </c>
      <c r="F50" s="26"/>
      <c r="G50" s="33"/>
      <c r="H50" s="19">
        <f>D50*50/B50</f>
        <v>1.5384615384615384E-2</v>
      </c>
    </row>
    <row r="51" spans="1:8" s="1" customFormat="1">
      <c r="A51" s="15">
        <f>A50+7</f>
        <v>43149</v>
      </c>
      <c r="B51" s="20">
        <f>C50+F50-G50</f>
        <v>26579.875003887795</v>
      </c>
      <c r="C51" s="17">
        <f>B51+(B51*0.04)</f>
        <v>27643.070004043308</v>
      </c>
      <c r="D51" s="17">
        <f>B51/3250</f>
        <v>8.1784230781193212</v>
      </c>
      <c r="E51" s="28">
        <f>(C51-B51)/D51</f>
        <v>130.00000000000009</v>
      </c>
      <c r="F51" s="26"/>
      <c r="G51" s="33"/>
      <c r="H51" s="19">
        <f>D51*50/B51</f>
        <v>1.5384615384615384E-2</v>
      </c>
    </row>
    <row r="52" spans="1:8" s="1" customFormat="1" ht="13.5" thickBot="1">
      <c r="A52" s="15">
        <f>A51+7</f>
        <v>43156</v>
      </c>
      <c r="B52" s="20">
        <f>C51+F51-G51</f>
        <v>27643.070004043308</v>
      </c>
      <c r="C52" s="17">
        <f>B52+(B52*0.04)</f>
        <v>28748.792804205041</v>
      </c>
      <c r="D52" s="17">
        <f>B52/3250</f>
        <v>8.5055600012440955</v>
      </c>
      <c r="E52" s="28">
        <f>(C52-B52)/D52</f>
        <v>130.00000000000009</v>
      </c>
      <c r="F52" s="26"/>
      <c r="G52" s="33"/>
      <c r="H52" s="19">
        <f>D52*50/B52</f>
        <v>1.5384615384615387E-2</v>
      </c>
    </row>
    <row r="53" spans="1:8" ht="13.5" thickBot="1">
      <c r="A53" s="13"/>
      <c r="B53" s="22"/>
      <c r="C53" s="23"/>
      <c r="D53" s="23"/>
      <c r="E53" s="27"/>
      <c r="F53" s="30"/>
      <c r="G53" s="10"/>
      <c r="H53" s="24"/>
    </row>
    <row r="54" spans="1:8" s="1" customFormat="1">
      <c r="A54" s="15">
        <f>A52+7</f>
        <v>43163</v>
      </c>
      <c r="B54" s="20">
        <f>C52+F52-G52</f>
        <v>28748.792804205041</v>
      </c>
      <c r="C54" s="17">
        <f>B54+(B54*0.04)</f>
        <v>29898.744516373241</v>
      </c>
      <c r="D54" s="17">
        <f>B54/3250</f>
        <v>8.8457824012938584</v>
      </c>
      <c r="E54" s="28">
        <f>(C54-B54)/D54</f>
        <v>129.99999999999983</v>
      </c>
      <c r="F54" s="26"/>
      <c r="G54" s="33"/>
      <c r="H54" s="19">
        <f>D54*50/B54</f>
        <v>1.5384615384615384E-2</v>
      </c>
    </row>
    <row r="55" spans="1:8" s="1" customFormat="1">
      <c r="A55" s="15">
        <f>A54+7</f>
        <v>43170</v>
      </c>
      <c r="B55" s="20">
        <f>C54+F54-G54</f>
        <v>29898.744516373241</v>
      </c>
      <c r="C55" s="17">
        <f>B55+(B55*0.04)</f>
        <v>31094.694297028171</v>
      </c>
      <c r="D55" s="17">
        <f>B55/3250</f>
        <v>9.1996136973456117</v>
      </c>
      <c r="E55" s="28">
        <f>(C55-B55)/D55</f>
        <v>130.00000000000003</v>
      </c>
      <c r="F55" s="26"/>
      <c r="G55" s="33"/>
      <c r="H55" s="19">
        <f>D55*50/B55</f>
        <v>1.5384615384615384E-2</v>
      </c>
    </row>
    <row r="56" spans="1:8" s="1" customFormat="1">
      <c r="A56" s="15">
        <f>A55+7</f>
        <v>43177</v>
      </c>
      <c r="B56" s="20">
        <f>C55+F55-G55</f>
        <v>31094.694297028171</v>
      </c>
      <c r="C56" s="17">
        <f>B56+(B56*0.04)</f>
        <v>32338.482068909296</v>
      </c>
      <c r="D56" s="17">
        <f>B56/3250</f>
        <v>9.5675982452394379</v>
      </c>
      <c r="E56" s="28">
        <f>(C56-B56)/D56</f>
        <v>129.9999999999998</v>
      </c>
      <c r="F56" s="26"/>
      <c r="G56" s="33"/>
      <c r="H56" s="19">
        <f>D56*50/B56</f>
        <v>1.5384615384615385E-2</v>
      </c>
    </row>
    <row r="57" spans="1:8" s="1" customFormat="1" ht="13.5" thickBot="1">
      <c r="A57" s="15">
        <f>A56+7</f>
        <v>43184</v>
      </c>
      <c r="B57" s="20">
        <f>C56+F56-G56</f>
        <v>32338.482068909296</v>
      </c>
      <c r="C57" s="17">
        <f>B57+(B57*0.04)</f>
        <v>33632.021351665666</v>
      </c>
      <c r="D57" s="17">
        <f>B57/3250</f>
        <v>9.9503021750490142</v>
      </c>
      <c r="E57" s="28">
        <f>(C57-B57)/D57</f>
        <v>129.99999999999983</v>
      </c>
      <c r="F57" s="26"/>
      <c r="G57" s="33"/>
      <c r="H57" s="19">
        <f>D57*50/B57</f>
        <v>1.5384615384615385E-2</v>
      </c>
    </row>
    <row r="58" spans="1:8" ht="13.5" thickBot="1">
      <c r="A58" s="13"/>
      <c r="B58" s="22"/>
      <c r="C58" s="23"/>
      <c r="D58" s="23"/>
      <c r="E58" s="27"/>
      <c r="F58" s="30"/>
      <c r="G58" s="10"/>
      <c r="H58" s="24"/>
    </row>
    <row r="59" spans="1:8" s="1" customFormat="1">
      <c r="A59" s="15">
        <f>A57+7</f>
        <v>43191</v>
      </c>
      <c r="B59" s="20">
        <f>C57+F57-G57</f>
        <v>33632.021351665666</v>
      </c>
      <c r="C59" s="17">
        <f>B59+(B59*0.04)</f>
        <v>34977.302205732296</v>
      </c>
      <c r="D59" s="17">
        <f>B59/3250</f>
        <v>10.348314262050975</v>
      </c>
      <c r="E59" s="28">
        <f>(C59-B59)/D59</f>
        <v>130.00000000000034</v>
      </c>
      <c r="F59" s="26"/>
      <c r="G59" s="33"/>
      <c r="H59" s="19">
        <f>D59*50/B59</f>
        <v>1.5384615384615384E-2</v>
      </c>
    </row>
    <row r="60" spans="1:8" s="1" customFormat="1">
      <c r="A60" s="15">
        <f>A59+7</f>
        <v>43198</v>
      </c>
      <c r="B60" s="20">
        <f>C59+F59-G59</f>
        <v>34977.302205732296</v>
      </c>
      <c r="C60" s="17">
        <f>B60+(B60*0.04)</f>
        <v>36376.394293961588</v>
      </c>
      <c r="D60" s="17">
        <f>B60/3250</f>
        <v>10.762246832533014</v>
      </c>
      <c r="E60" s="28">
        <f>(C60-B60)/D60</f>
        <v>130.00000000000003</v>
      </c>
      <c r="F60" s="26"/>
      <c r="G60" s="33"/>
      <c r="H60" s="19">
        <f>D60*50/B60</f>
        <v>1.5384615384615385E-2</v>
      </c>
    </row>
    <row r="61" spans="1:8" s="1" customFormat="1">
      <c r="A61" s="15">
        <f>A60+7</f>
        <v>43205</v>
      </c>
      <c r="B61" s="20">
        <f>C60+F60-G60</f>
        <v>36376.394293961588</v>
      </c>
      <c r="C61" s="17">
        <f>B61+(B61*0.04)</f>
        <v>37831.450065720055</v>
      </c>
      <c r="D61" s="17">
        <f>B61/3250</f>
        <v>11.192736705834335</v>
      </c>
      <c r="E61" s="28">
        <f>(C61-B61)/D61</f>
        <v>130.00000000000031</v>
      </c>
      <c r="F61" s="26"/>
      <c r="G61" s="33"/>
      <c r="H61" s="19">
        <f>D61*50/B61</f>
        <v>1.5384615384615387E-2</v>
      </c>
    </row>
    <row r="62" spans="1:8" s="1" customFormat="1" ht="13.5" thickBot="1">
      <c r="A62" s="15">
        <f>A61+7</f>
        <v>43212</v>
      </c>
      <c r="B62" s="20">
        <f>C61+F61-G61</f>
        <v>37831.450065720055</v>
      </c>
      <c r="C62" s="17">
        <f>B62+(B62*0.04)</f>
        <v>39344.70806834886</v>
      </c>
      <c r="D62" s="17">
        <f>B62/3250</f>
        <v>11.640446174067709</v>
      </c>
      <c r="E62" s="28">
        <f>(C62-B62)/D62</f>
        <v>130.00000000000026</v>
      </c>
      <c r="F62" s="26"/>
      <c r="G62" s="33"/>
      <c r="H62" s="19">
        <f>D62*50/B62</f>
        <v>1.5384615384615384E-2</v>
      </c>
    </row>
    <row r="63" spans="1:8" ht="13.5" thickBot="1">
      <c r="A63" s="13"/>
      <c r="B63" s="22"/>
      <c r="C63" s="23"/>
      <c r="D63" s="23"/>
      <c r="E63" s="27"/>
      <c r="F63" s="30"/>
      <c r="G63" s="10"/>
      <c r="H63" s="24"/>
    </row>
    <row r="64" spans="1:8" s="1" customFormat="1">
      <c r="A64" s="15">
        <f>A62+7</f>
        <v>43219</v>
      </c>
      <c r="B64" s="20">
        <f>C62+F62-G62</f>
        <v>39344.70806834886</v>
      </c>
      <c r="C64" s="17">
        <f>B64+(B64*0.04)</f>
        <v>40918.496391082816</v>
      </c>
      <c r="D64" s="17">
        <f>B64/3250</f>
        <v>12.106064021030418</v>
      </c>
      <c r="E64" s="28">
        <f>(C64-B64)/D64</f>
        <v>130.00000000000009</v>
      </c>
      <c r="F64" s="26"/>
      <c r="G64" s="33"/>
      <c r="H64" s="19">
        <f>D64*50/B64</f>
        <v>1.5384615384615384E-2</v>
      </c>
    </row>
    <row r="65" spans="1:8" s="1" customFormat="1">
      <c r="A65" s="15">
        <f>A64+7</f>
        <v>43226</v>
      </c>
      <c r="B65" s="20">
        <f>C64+F64-G64</f>
        <v>40918.496391082816</v>
      </c>
      <c r="C65" s="17">
        <f>B65+(B65*0.04)</f>
        <v>42555.236246726126</v>
      </c>
      <c r="D65" s="17">
        <f>B65/3250</f>
        <v>12.590306581871635</v>
      </c>
      <c r="E65" s="28">
        <f>(C65-B65)/D65</f>
        <v>129.99999999999986</v>
      </c>
      <c r="F65" s="26"/>
      <c r="G65" s="33"/>
      <c r="H65" s="19">
        <f>D65*50/B65</f>
        <v>1.5384615384615384E-2</v>
      </c>
    </row>
    <row r="66" spans="1:8" s="1" customFormat="1">
      <c r="A66" s="15">
        <f>A65+7</f>
        <v>43233</v>
      </c>
      <c r="B66" s="20">
        <f>C65+F65-G65</f>
        <v>42555.236246726126</v>
      </c>
      <c r="C66" s="17">
        <f>B66+(B66*0.04)</f>
        <v>44257.445696595169</v>
      </c>
      <c r="D66" s="17">
        <f>B66/3250</f>
        <v>13.093918845146501</v>
      </c>
      <c r="E66" s="28">
        <f>(C66-B66)/D66</f>
        <v>129.99999999999977</v>
      </c>
      <c r="F66" s="26"/>
      <c r="G66" s="33"/>
      <c r="H66" s="19">
        <f>D66*50/B66</f>
        <v>1.5384615384615384E-2</v>
      </c>
    </row>
    <row r="67" spans="1:8" s="1" customFormat="1" ht="13.5" thickBot="1">
      <c r="A67" s="15">
        <f>A66+7</f>
        <v>43240</v>
      </c>
      <c r="B67" s="20">
        <f>C66+F66-G66</f>
        <v>44257.445696595169</v>
      </c>
      <c r="C67" s="17">
        <f>B67+(B67*0.04)</f>
        <v>46027.743524458972</v>
      </c>
      <c r="D67" s="17">
        <f>B67/3250</f>
        <v>13.61767559895236</v>
      </c>
      <c r="E67" s="28">
        <f>(C67-B67)/D67</f>
        <v>129.99999999999977</v>
      </c>
      <c r="F67" s="26"/>
      <c r="G67" s="33"/>
      <c r="H67" s="19">
        <f>D67*50/B67</f>
        <v>1.5384615384615385E-2</v>
      </c>
    </row>
    <row r="68" spans="1:8" ht="13.5" thickBot="1">
      <c r="A68" s="13"/>
      <c r="B68" s="22"/>
      <c r="C68" s="23"/>
      <c r="D68" s="23"/>
      <c r="E68" s="27"/>
      <c r="F68" s="30"/>
      <c r="G68" s="10"/>
      <c r="H68" s="24"/>
    </row>
    <row r="69" spans="1:8" s="1" customFormat="1">
      <c r="A69" s="15">
        <f>A67+7</f>
        <v>43247</v>
      </c>
      <c r="B69" s="20">
        <f>C67+F67-G67</f>
        <v>46027.743524458972</v>
      </c>
      <c r="C69" s="17">
        <f>B69+(B69*0.04)</f>
        <v>47868.853265437334</v>
      </c>
      <c r="D69" s="17">
        <f>B69/3250</f>
        <v>14.162382622910453</v>
      </c>
      <c r="E69" s="28">
        <f>(C69-B69)/D69</f>
        <v>130.0000000000002</v>
      </c>
      <c r="F69" s="26"/>
      <c r="G69" s="33"/>
      <c r="H69" s="19">
        <f>D69*50/B69</f>
        <v>1.5384615384615384E-2</v>
      </c>
    </row>
    <row r="70" spans="1:8" s="1" customFormat="1">
      <c r="A70" s="15">
        <f>A69+7</f>
        <v>43254</v>
      </c>
      <c r="B70" s="20">
        <f>C69+F69-G69</f>
        <v>47868.853265437334</v>
      </c>
      <c r="C70" s="17">
        <f>B70+(B70*0.04)</f>
        <v>49783.607396054824</v>
      </c>
      <c r="D70" s="17">
        <f>B70/3250</f>
        <v>14.728877927826872</v>
      </c>
      <c r="E70" s="28">
        <f>(C70-B70)/D70</f>
        <v>129.99999999999977</v>
      </c>
      <c r="F70" s="26"/>
      <c r="G70" s="64"/>
      <c r="H70" s="19">
        <f>D70*50/B70</f>
        <v>1.5384615384615385E-2</v>
      </c>
    </row>
    <row r="71" spans="1:8" s="1" customFormat="1">
      <c r="A71" s="15">
        <f>A70+7</f>
        <v>43261</v>
      </c>
      <c r="B71" s="20">
        <f>C70+F70-G70</f>
        <v>49783.607396054824</v>
      </c>
      <c r="C71" s="17">
        <f>B71+(B71*0.04)</f>
        <v>51774.951691897018</v>
      </c>
      <c r="D71" s="17">
        <f>B71/3250</f>
        <v>15.318033044939945</v>
      </c>
      <c r="E71" s="28">
        <f>(C71-B71)/D71</f>
        <v>130.00000000000011</v>
      </c>
      <c r="F71" s="26"/>
      <c r="G71" s="33"/>
      <c r="H71" s="19">
        <f>D71*50/B71</f>
        <v>1.5384615384615384E-2</v>
      </c>
    </row>
    <row r="72" spans="1:8" s="1" customFormat="1" ht="13.5" thickBot="1">
      <c r="A72" s="15">
        <f>A71+7</f>
        <v>43268</v>
      </c>
      <c r="B72" s="20">
        <f>C71+F71-G71</f>
        <v>51774.951691897018</v>
      </c>
      <c r="C72" s="17">
        <f>B72+(B72*0.04)</f>
        <v>53845.949759572897</v>
      </c>
      <c r="D72" s="17">
        <f>B72/3250</f>
        <v>15.930754366737544</v>
      </c>
      <c r="E72" s="28">
        <f>(C72-B72)/D72</f>
        <v>129.99999999999989</v>
      </c>
      <c r="F72" s="26"/>
      <c r="G72" s="33"/>
      <c r="H72" s="19">
        <f>D72*50/B72</f>
        <v>1.5384615384615385E-2</v>
      </c>
    </row>
    <row r="73" spans="1:8" ht="13.5" thickBot="1">
      <c r="A73" s="13"/>
      <c r="B73" s="22"/>
      <c r="C73" s="23"/>
      <c r="D73" s="23"/>
      <c r="E73" s="27"/>
      <c r="F73" s="30"/>
      <c r="G73" s="10"/>
      <c r="H73" s="24"/>
    </row>
    <row r="74" spans="1:8" s="1" customFormat="1">
      <c r="A74" s="15">
        <f>A72+7</f>
        <v>43275</v>
      </c>
      <c r="B74" s="20">
        <f>C72+F72-G72</f>
        <v>53845.949759572897</v>
      </c>
      <c r="C74" s="17">
        <f>B74+(B74*0.04)</f>
        <v>55999.787749955816</v>
      </c>
      <c r="D74" s="17">
        <f>B74/3250</f>
        <v>16.567984541407046</v>
      </c>
      <c r="E74" s="28">
        <f>(C74-B74)/D74</f>
        <v>130.0000000000002</v>
      </c>
      <c r="F74" s="26"/>
      <c r="G74" s="33"/>
      <c r="H74" s="19">
        <f>D74*50/B74</f>
        <v>1.5384615384615387E-2</v>
      </c>
    </row>
    <row r="75" spans="1:8" s="1" customFormat="1">
      <c r="A75" s="15">
        <f>A74+7</f>
        <v>43282</v>
      </c>
      <c r="B75" s="20">
        <f>C74+F74-G74</f>
        <v>55999.787749955816</v>
      </c>
      <c r="C75" s="17">
        <f>B75+(B75*0.04)</f>
        <v>58239.779259954048</v>
      </c>
      <c r="D75" s="17">
        <f>B75/3250</f>
        <v>17.230703923063327</v>
      </c>
      <c r="E75" s="28">
        <f>(C75-B75)/D75</f>
        <v>129.99999999999994</v>
      </c>
      <c r="F75" s="26"/>
      <c r="G75" s="33"/>
      <c r="H75" s="19">
        <f>D75*50/B75</f>
        <v>1.5384615384615384E-2</v>
      </c>
    </row>
    <row r="76" spans="1:8" s="1" customFormat="1">
      <c r="A76" s="15">
        <f>A75+7</f>
        <v>43289</v>
      </c>
      <c r="B76" s="20">
        <f>C75+F75-G75</f>
        <v>58239.779259954048</v>
      </c>
      <c r="C76" s="17">
        <f>B76+(B76*0.04)</f>
        <v>60569.37043035221</v>
      </c>
      <c r="D76" s="17">
        <f>B76/3250</f>
        <v>17.919932079985863</v>
      </c>
      <c r="E76" s="28">
        <f>(C76-B76)/D76</f>
        <v>130</v>
      </c>
      <c r="F76" s="26"/>
      <c r="G76" s="33"/>
      <c r="H76" s="19">
        <f>D76*50/B76</f>
        <v>1.5384615384615385E-2</v>
      </c>
    </row>
    <row r="77" spans="1:8" s="1" customFormat="1" ht="13.5" thickBot="1">
      <c r="A77" s="15">
        <f>A76+7</f>
        <v>43296</v>
      </c>
      <c r="B77" s="20">
        <f>C76+F76-G76</f>
        <v>60569.37043035221</v>
      </c>
      <c r="C77" s="17">
        <f>B77+(B77*0.04)</f>
        <v>62992.145247566295</v>
      </c>
      <c r="D77" s="17">
        <f>B77/3250</f>
        <v>18.636729363185296</v>
      </c>
      <c r="E77" s="28">
        <f>(C77-B77)/D77</f>
        <v>129.99999999999983</v>
      </c>
      <c r="F77" s="26"/>
      <c r="G77" s="33"/>
      <c r="H77" s="19">
        <f>D77*50/B77</f>
        <v>1.5384615384615385E-2</v>
      </c>
    </row>
    <row r="78" spans="1:8" ht="13.5" thickBot="1">
      <c r="A78" s="13"/>
      <c r="B78" s="22"/>
      <c r="C78" s="23"/>
      <c r="D78" s="23"/>
      <c r="E78" s="27"/>
      <c r="F78" s="30"/>
      <c r="G78" s="10"/>
      <c r="H78" s="24"/>
    </row>
    <row r="79" spans="1:8" s="1" customFormat="1">
      <c r="A79" s="15">
        <f>A77+7</f>
        <v>43303</v>
      </c>
      <c r="B79" s="20">
        <f>C77+F77-G77</f>
        <v>62992.145247566295</v>
      </c>
      <c r="C79" s="17">
        <f>B79+(B79*0.04)</f>
        <v>65511.831057468946</v>
      </c>
      <c r="D79" s="17">
        <f>B79/3250</f>
        <v>19.382198537712707</v>
      </c>
      <c r="E79" s="28">
        <f>(C79-B79)/D79</f>
        <v>129.99999999999991</v>
      </c>
      <c r="F79" s="26"/>
      <c r="G79" s="33"/>
      <c r="H79" s="19">
        <f>D79*50/B79</f>
        <v>1.5384615384615385E-2</v>
      </c>
    </row>
    <row r="80" spans="1:8" s="1" customFormat="1">
      <c r="A80" s="15">
        <f>A79+7</f>
        <v>43310</v>
      </c>
      <c r="B80" s="20">
        <f>C79+F79-G79</f>
        <v>65511.831057468946</v>
      </c>
      <c r="C80" s="17">
        <f>B80+(B80*0.04)</f>
        <v>68132.304299767697</v>
      </c>
      <c r="D80" s="17">
        <f>B80/3250</f>
        <v>20.157486479221213</v>
      </c>
      <c r="E80" s="28">
        <f>(C80-B80)/D80</f>
        <v>129.99999999999966</v>
      </c>
      <c r="F80" s="26"/>
      <c r="G80" s="64"/>
      <c r="H80" s="19">
        <f>D80*50/B80</f>
        <v>1.5384615384615384E-2</v>
      </c>
    </row>
    <row r="81" spans="1:8" s="1" customFormat="1">
      <c r="A81" s="15">
        <f>A80+7</f>
        <v>43317</v>
      </c>
      <c r="B81" s="20">
        <f>C80+F80-G80</f>
        <v>68132.304299767697</v>
      </c>
      <c r="C81" s="17">
        <f>B81+(B81*0.04)</f>
        <v>70857.596471758399</v>
      </c>
      <c r="D81" s="17">
        <f>B81/3250</f>
        <v>20.96378593839006</v>
      </c>
      <c r="E81" s="28">
        <f>(C81-B81)/D81</f>
        <v>129.99999999999974</v>
      </c>
      <c r="F81" s="26"/>
      <c r="G81" s="33"/>
      <c r="H81" s="19">
        <f>D81*50/B81</f>
        <v>1.5384615384615384E-2</v>
      </c>
    </row>
    <row r="82" spans="1:8" s="1" customFormat="1" ht="13.5" thickBot="1">
      <c r="A82" s="15">
        <f>A81+7</f>
        <v>43324</v>
      </c>
      <c r="B82" s="20">
        <f>C81+F81-G81</f>
        <v>70857.596471758399</v>
      </c>
      <c r="C82" s="17">
        <f>B82+(B82*0.04)</f>
        <v>73691.900330628734</v>
      </c>
      <c r="D82" s="17">
        <f>B82/3250</f>
        <v>21.80233737592566</v>
      </c>
      <c r="E82" s="28">
        <f>(C82-B82)/D82</f>
        <v>129.99999999999994</v>
      </c>
      <c r="F82" s="26"/>
      <c r="G82" s="33"/>
      <c r="H82" s="19">
        <f>D82*50/B82</f>
        <v>1.5384615384615382E-2</v>
      </c>
    </row>
    <row r="83" spans="1:8" ht="13.5" thickBot="1">
      <c r="A83" s="13"/>
      <c r="B83" s="22"/>
      <c r="C83" s="23"/>
      <c r="D83" s="23"/>
      <c r="E83" s="27"/>
      <c r="F83" s="30"/>
      <c r="G83" s="10"/>
      <c r="H83" s="24"/>
    </row>
    <row r="84" spans="1:8" s="1" customFormat="1">
      <c r="A84" s="15">
        <f>A82+7</f>
        <v>43331</v>
      </c>
      <c r="B84" s="20">
        <f>C82+F82-G82</f>
        <v>73691.900330628734</v>
      </c>
      <c r="C84" s="17">
        <f>B84+(B84*0.04)</f>
        <v>76639.576343853885</v>
      </c>
      <c r="D84" s="17">
        <f>B84/3250</f>
        <v>22.674430870962688</v>
      </c>
      <c r="E84" s="28">
        <f>(C84-B84)/D84</f>
        <v>130.00000000000009</v>
      </c>
      <c r="F84" s="26"/>
      <c r="G84" s="33"/>
      <c r="H84" s="19">
        <f>D84*50/B84</f>
        <v>1.5384615384615385E-2</v>
      </c>
    </row>
    <row r="85" spans="1:8" s="1" customFormat="1">
      <c r="A85" s="15">
        <f>A84+7</f>
        <v>43338</v>
      </c>
      <c r="B85" s="20">
        <f>C84+F84-G84</f>
        <v>76639.576343853885</v>
      </c>
      <c r="C85" s="17">
        <f>B85+(B85*0.04)</f>
        <v>79705.159397608048</v>
      </c>
      <c r="D85" s="17">
        <f>B85/3250</f>
        <v>23.581408105801195</v>
      </c>
      <c r="E85" s="28">
        <f>(C85-B85)/D85</f>
        <v>130.00000000000028</v>
      </c>
      <c r="F85" s="26"/>
      <c r="G85" s="33"/>
      <c r="H85" s="19">
        <f>D85*50/B85</f>
        <v>1.5384615384615385E-2</v>
      </c>
    </row>
    <row r="86" spans="1:8" s="1" customFormat="1">
      <c r="A86" s="15">
        <f>A85+7</f>
        <v>43345</v>
      </c>
      <c r="B86" s="20">
        <f>C85+F85-G85</f>
        <v>79705.159397608048</v>
      </c>
      <c r="C86" s="17">
        <f>B86+(B86*0.04)</f>
        <v>82893.365773512371</v>
      </c>
      <c r="D86" s="17">
        <f>B86/3250</f>
        <v>24.524664430033244</v>
      </c>
      <c r="E86" s="28">
        <f>(C86-B86)/D86</f>
        <v>130.00000000000006</v>
      </c>
      <c r="F86" s="26"/>
      <c r="G86" s="33"/>
      <c r="H86" s="19">
        <f>D86*50/B86</f>
        <v>1.5384615384615384E-2</v>
      </c>
    </row>
    <row r="87" spans="1:8" s="1" customFormat="1" ht="13.5" thickBot="1">
      <c r="A87" s="15">
        <f>A86+7</f>
        <v>43352</v>
      </c>
      <c r="B87" s="20">
        <f>C86+F86-G86</f>
        <v>82893.365773512371</v>
      </c>
      <c r="C87" s="17">
        <f>B87+(B87*0.04)</f>
        <v>86209.100404452867</v>
      </c>
      <c r="D87" s="17">
        <f>B87/3250</f>
        <v>25.505651007234576</v>
      </c>
      <c r="E87" s="28">
        <f>(C87-B87)/D87</f>
        <v>130.00000000000006</v>
      </c>
      <c r="F87" s="26"/>
      <c r="G87" s="33"/>
      <c r="H87" s="19">
        <f>D87*50/B87</f>
        <v>1.5384615384615384E-2</v>
      </c>
    </row>
    <row r="88" spans="1:8" ht="13.5" thickBot="1">
      <c r="A88" s="13"/>
      <c r="B88" s="22"/>
      <c r="C88" s="23"/>
      <c r="D88" s="23"/>
      <c r="E88" s="27"/>
      <c r="F88" s="30"/>
      <c r="G88" s="10"/>
      <c r="H88" s="24"/>
    </row>
    <row r="89" spans="1:8" s="1" customFormat="1">
      <c r="A89" s="15">
        <f>A87+7</f>
        <v>43359</v>
      </c>
      <c r="B89" s="20">
        <f>C87+F87-G87</f>
        <v>86209.100404452867</v>
      </c>
      <c r="C89" s="17">
        <f>B89+(B89*0.04)</f>
        <v>89657.464420630975</v>
      </c>
      <c r="D89" s="17">
        <f>B89/3250</f>
        <v>26.525877047523959</v>
      </c>
      <c r="E89" s="28">
        <f>(C89-B89)/D89</f>
        <v>129.99999999999974</v>
      </c>
      <c r="F89" s="26"/>
      <c r="G89" s="33"/>
      <c r="H89" s="19">
        <f>D89*50/B89</f>
        <v>1.5384615384615384E-2</v>
      </c>
    </row>
    <row r="90" spans="1:8" s="1" customFormat="1">
      <c r="A90" s="15">
        <f>A89+7</f>
        <v>43366</v>
      </c>
      <c r="B90" s="20">
        <f>C89+F89-G89</f>
        <v>89657.464420630975</v>
      </c>
      <c r="C90" s="17">
        <f>B90+(B90*0.04)</f>
        <v>93243.762997456215</v>
      </c>
      <c r="D90" s="17">
        <f>B90/3250</f>
        <v>27.586912129424917</v>
      </c>
      <c r="E90" s="28">
        <f>(C90-B90)/D90</f>
        <v>130.00000000000003</v>
      </c>
      <c r="F90" s="26"/>
      <c r="G90" s="33"/>
      <c r="H90" s="19">
        <f>D90*50/B90</f>
        <v>1.5384615384615385E-2</v>
      </c>
    </row>
    <row r="91" spans="1:8" s="1" customFormat="1">
      <c r="A91" s="15">
        <f>A90+7</f>
        <v>43373</v>
      </c>
      <c r="B91" s="20">
        <f>C90+F90-G90</f>
        <v>93243.762997456215</v>
      </c>
      <c r="C91" s="17">
        <f>B91+(B91*0.04)</f>
        <v>96973.51351735447</v>
      </c>
      <c r="D91" s="17">
        <f>B91/3250</f>
        <v>28.690388614601911</v>
      </c>
      <c r="E91" s="28">
        <f>(C91-B91)/D91</f>
        <v>130.0000000000002</v>
      </c>
      <c r="F91" s="26"/>
      <c r="G91" s="33"/>
      <c r="H91" s="19">
        <f>D91*50/B91</f>
        <v>1.5384615384615384E-2</v>
      </c>
    </row>
    <row r="92" spans="1:8" s="1" customFormat="1" ht="13.5" thickBot="1">
      <c r="A92" s="15">
        <f>A91+7</f>
        <v>43380</v>
      </c>
      <c r="B92" s="20">
        <f>C91+F91-G91</f>
        <v>96973.51351735447</v>
      </c>
      <c r="C92" s="17">
        <f>B92+(B92*0.04)</f>
        <v>100852.45405804865</v>
      </c>
      <c r="D92" s="17">
        <f>B92/3250</f>
        <v>29.838004159185992</v>
      </c>
      <c r="E92" s="28">
        <f>(C92-B92)/D92</f>
        <v>130.00000000000006</v>
      </c>
      <c r="F92" s="26"/>
      <c r="G92" s="33"/>
      <c r="H92" s="19">
        <f>D92*50/B92</f>
        <v>1.5384615384615385E-2</v>
      </c>
    </row>
    <row r="93" spans="1:8" ht="13.5" thickBot="1">
      <c r="A93" s="13"/>
      <c r="B93" s="22"/>
      <c r="C93" s="23"/>
      <c r="D93" s="23"/>
      <c r="E93" s="27"/>
      <c r="F93" s="30"/>
      <c r="G93" s="10"/>
      <c r="H93" s="24"/>
    </row>
    <row r="94" spans="1:8" s="1" customFormat="1">
      <c r="A94" s="15">
        <f>A92+7</f>
        <v>43387</v>
      </c>
      <c r="B94" s="20">
        <f>C92+F92-G92</f>
        <v>100852.45405804865</v>
      </c>
      <c r="C94" s="17">
        <f>B94+(B94*0.04)</f>
        <v>104886.55222037059</v>
      </c>
      <c r="D94" s="17">
        <f>B94/3250</f>
        <v>31.031524325553431</v>
      </c>
      <c r="E94" s="28">
        <f>(C94-B94)/D94</f>
        <v>129.99999999999986</v>
      </c>
      <c r="F94" s="26"/>
      <c r="G94" s="33"/>
      <c r="H94" s="19">
        <f>D94*50/B94</f>
        <v>1.5384615384615385E-2</v>
      </c>
    </row>
    <row r="95" spans="1:8" s="1" customFormat="1">
      <c r="A95" s="15">
        <f>A94+7</f>
        <v>43394</v>
      </c>
      <c r="B95" s="20">
        <f>C94+F94-G94</f>
        <v>104886.55222037059</v>
      </c>
      <c r="C95" s="17">
        <f>B95+(B95*0.04)</f>
        <v>109082.01430918541</v>
      </c>
      <c r="D95" s="17">
        <f>B95/3250</f>
        <v>32.272785298575563</v>
      </c>
      <c r="E95" s="28">
        <f>(C95-B95)/D95</f>
        <v>129.99999999999991</v>
      </c>
      <c r="F95" s="26"/>
      <c r="G95" s="33"/>
      <c r="H95" s="19">
        <f>D95*50/B95</f>
        <v>1.5384615384615384E-2</v>
      </c>
    </row>
    <row r="96" spans="1:8" s="1" customFormat="1">
      <c r="A96" s="15">
        <f>A95+7</f>
        <v>43401</v>
      </c>
      <c r="B96" s="20">
        <f>C95+F95-G95</f>
        <v>109082.01430918541</v>
      </c>
      <c r="C96" s="17">
        <f>B96+(B96*0.04)</f>
        <v>113445.29488155282</v>
      </c>
      <c r="D96" s="17">
        <f>B96/3250</f>
        <v>33.563696710518592</v>
      </c>
      <c r="E96" s="28">
        <f>(C96-B96)/D96</f>
        <v>129.9999999999998</v>
      </c>
      <c r="F96" s="26"/>
      <c r="G96" s="33"/>
      <c r="H96" s="19">
        <f>D96*50/B96</f>
        <v>1.5384615384615387E-2</v>
      </c>
    </row>
    <row r="97" spans="1:8" s="1" customFormat="1" ht="13.5" thickBot="1">
      <c r="A97" s="15">
        <f>A96+7</f>
        <v>43408</v>
      </c>
      <c r="B97" s="20">
        <f>C96+F96-G96</f>
        <v>113445.29488155282</v>
      </c>
      <c r="C97" s="17">
        <f>B97+(B97*0.04)</f>
        <v>117983.10667681493</v>
      </c>
      <c r="D97" s="17">
        <f>B97/3250</f>
        <v>34.906244578939329</v>
      </c>
      <c r="E97" s="28">
        <f>(C97-B97)/D97</f>
        <v>129.99999999999994</v>
      </c>
      <c r="F97" s="26"/>
      <c r="G97" s="33"/>
      <c r="H97" s="19">
        <f>D97*50/B97</f>
        <v>1.5384615384615385E-2</v>
      </c>
    </row>
    <row r="98" spans="1:8" ht="13.5" thickBot="1">
      <c r="A98" s="13"/>
      <c r="B98" s="22"/>
      <c r="C98" s="23"/>
      <c r="D98" s="23"/>
      <c r="E98" s="27"/>
      <c r="F98" s="30"/>
      <c r="G98" s="10"/>
      <c r="H98" s="24"/>
    </row>
    <row r="99" spans="1:8" s="1" customFormat="1">
      <c r="A99" s="15">
        <f>A97+7</f>
        <v>43415</v>
      </c>
      <c r="B99" s="20">
        <f>C97+F97-G97</f>
        <v>117983.10667681493</v>
      </c>
      <c r="C99" s="17">
        <f>B99+(B99*0.04)</f>
        <v>122702.43094388754</v>
      </c>
      <c r="D99" s="17">
        <f>B99/3250</f>
        <v>36.302494362096901</v>
      </c>
      <c r="E99" s="28">
        <f>(C99-B99)/D99</f>
        <v>130.00000000000017</v>
      </c>
      <c r="F99" s="26"/>
      <c r="G99" s="33"/>
      <c r="H99" s="19">
        <f>D99*50/B99</f>
        <v>1.5384615384615384E-2</v>
      </c>
    </row>
    <row r="100" spans="1:8" s="1" customFormat="1">
      <c r="A100" s="15">
        <f>A99+7</f>
        <v>43422</v>
      </c>
      <c r="B100" s="20">
        <f>C99+F99-G99</f>
        <v>122702.43094388754</v>
      </c>
      <c r="C100" s="17">
        <f>B100+(B100*0.04)</f>
        <v>127610.52818164304</v>
      </c>
      <c r="D100" s="17">
        <f>B100/3250</f>
        <v>37.754594136580778</v>
      </c>
      <c r="E100" s="28">
        <f>(C100-B100)/D100</f>
        <v>130</v>
      </c>
      <c r="F100" s="26"/>
      <c r="G100" s="33"/>
      <c r="H100" s="19">
        <f>D100*50/B100</f>
        <v>1.5384615384615384E-2</v>
      </c>
    </row>
    <row r="101" spans="1:8" s="1" customFormat="1">
      <c r="A101" s="15">
        <f>A100+7</f>
        <v>43429</v>
      </c>
      <c r="B101" s="20">
        <f>C100+F100-G100</f>
        <v>127610.52818164304</v>
      </c>
      <c r="C101" s="17">
        <f>B101+(B101*0.04)</f>
        <v>132714.94930890875</v>
      </c>
      <c r="D101" s="17">
        <f>B101/3250</f>
        <v>39.26477790204401</v>
      </c>
      <c r="E101" s="28">
        <f>(C101-B101)/D101</f>
        <v>129.99999999999977</v>
      </c>
      <c r="F101" s="26"/>
      <c r="G101" s="33"/>
      <c r="H101" s="19">
        <f>D101*50/B101</f>
        <v>1.5384615384615385E-2</v>
      </c>
    </row>
    <row r="102" spans="1:8" s="1" customFormat="1" ht="13.5" thickBot="1">
      <c r="A102" s="15">
        <f>A101+7</f>
        <v>43436</v>
      </c>
      <c r="B102" s="20">
        <f>C101+F101-G101</f>
        <v>132714.94930890875</v>
      </c>
      <c r="C102" s="17">
        <f>B102+(B102*0.04)</f>
        <v>138023.54728126508</v>
      </c>
      <c r="D102" s="17">
        <f>B102/3250</f>
        <v>40.835369018125768</v>
      </c>
      <c r="E102" s="28">
        <f>(C102-B102)/D102</f>
        <v>129.99999999999966</v>
      </c>
      <c r="F102" s="26"/>
      <c r="G102" s="33"/>
      <c r="H102" s="19">
        <f>D102*50/B102</f>
        <v>1.5384615384615384E-2</v>
      </c>
    </row>
    <row r="103" spans="1:8" ht="13.5" thickBot="1">
      <c r="A103" s="13"/>
      <c r="B103" s="22"/>
      <c r="C103" s="23"/>
      <c r="D103" s="23"/>
      <c r="E103" s="27"/>
      <c r="F103" s="30"/>
      <c r="G103" s="10"/>
      <c r="H103" s="24"/>
    </row>
    <row r="104" spans="1:8" s="1" customFormat="1">
      <c r="A104" s="15">
        <f>A102+7</f>
        <v>43443</v>
      </c>
      <c r="B104" s="20">
        <f>C102+F102-G102</f>
        <v>138023.54728126508</v>
      </c>
      <c r="C104" s="17">
        <f>B104+(B104*0.04)</f>
        <v>143544.48917251569</v>
      </c>
      <c r="D104" s="17">
        <f>B104/3250</f>
        <v>42.468783778850792</v>
      </c>
      <c r="E104" s="28">
        <f>(C104-B104)/D104</f>
        <v>130.00000000000011</v>
      </c>
      <c r="F104" s="26"/>
      <c r="G104" s="33"/>
      <c r="H104" s="19">
        <f>D104*50/B104</f>
        <v>1.5384615384615384E-2</v>
      </c>
    </row>
    <row r="105" spans="1:8" s="1" customFormat="1">
      <c r="A105" s="15">
        <f>A104+7</f>
        <v>43450</v>
      </c>
      <c r="B105" s="20">
        <f>C104+F104-G104</f>
        <v>143544.48917251569</v>
      </c>
      <c r="C105" s="17">
        <f>B105+(B105*0.04)</f>
        <v>149286.26873941632</v>
      </c>
      <c r="D105" s="17">
        <f>B105/3250</f>
        <v>44.167535130004829</v>
      </c>
      <c r="E105" s="28">
        <f>(C105-B105)/D105</f>
        <v>130.00000000000006</v>
      </c>
      <c r="F105" s="26"/>
      <c r="G105" s="33"/>
      <c r="H105" s="19">
        <f>D105*50/B105</f>
        <v>1.5384615384615384E-2</v>
      </c>
    </row>
    <row r="106" spans="1:8" s="1" customFormat="1">
      <c r="A106" s="15">
        <f>A105+7</f>
        <v>43457</v>
      </c>
      <c r="B106" s="20">
        <f>C105+F105-G105</f>
        <v>149286.26873941632</v>
      </c>
      <c r="C106" s="17">
        <f>B106+(B106*0.04)</f>
        <v>155257.71948899297</v>
      </c>
      <c r="D106" s="17">
        <f>B106/3250</f>
        <v>45.934236535205024</v>
      </c>
      <c r="E106" s="28">
        <f>(C106-B106)/D106</f>
        <v>129.99999999999983</v>
      </c>
      <c r="F106" s="26"/>
      <c r="G106" s="33"/>
      <c r="H106" s="19">
        <f>D106*50/B106</f>
        <v>1.5384615384615387E-2</v>
      </c>
    </row>
    <row r="107" spans="1:8" s="1" customFormat="1" ht="13.5" thickBot="1">
      <c r="A107" s="15">
        <f>A106+7</f>
        <v>43464</v>
      </c>
      <c r="B107" s="20">
        <f>C106+F106-G106</f>
        <v>155257.71948899297</v>
      </c>
      <c r="C107" s="17">
        <f>B107+(B107*0.04)</f>
        <v>161468.02826855268</v>
      </c>
      <c r="D107" s="17">
        <f>B107/3250</f>
        <v>47.771605996613218</v>
      </c>
      <c r="E107" s="28">
        <f>(C107-B107)/D107</f>
        <v>129.9999999999998</v>
      </c>
      <c r="F107" s="26"/>
      <c r="G107" s="33"/>
      <c r="H107" s="19">
        <f>D107*50/B107</f>
        <v>1.5384615384615384E-2</v>
      </c>
    </row>
    <row r="108" spans="1:8" ht="13.5" thickBot="1">
      <c r="A108" s="13"/>
      <c r="B108" s="22"/>
      <c r="C108" s="23"/>
      <c r="D108" s="23"/>
      <c r="E108" s="27"/>
      <c r="F108" s="30"/>
      <c r="G108" s="10"/>
      <c r="H108" s="24"/>
    </row>
    <row r="109" spans="1:8" s="1" customFormat="1">
      <c r="A109" s="15">
        <f>A107+7</f>
        <v>43471</v>
      </c>
      <c r="B109" s="20">
        <f>C107+F107-G107</f>
        <v>161468.02826855268</v>
      </c>
      <c r="C109" s="17">
        <f>B109+(B109*0.04)</f>
        <v>167926.74939929479</v>
      </c>
      <c r="D109" s="17">
        <f>B109/3250</f>
        <v>49.682470236477748</v>
      </c>
      <c r="E109" s="28">
        <f>(C109-B109)/D109</f>
        <v>130.00000000000006</v>
      </c>
      <c r="F109" s="26"/>
      <c r="G109" s="33"/>
      <c r="H109" s="19">
        <f>D109*50/B109</f>
        <v>1.5384615384615385E-2</v>
      </c>
    </row>
    <row r="110" spans="1:8">
      <c r="A110" s="15">
        <f>A109+7</f>
        <v>43478</v>
      </c>
      <c r="B110" s="20">
        <f>C109+F109-G109</f>
        <v>167926.74939929479</v>
      </c>
      <c r="C110" s="17">
        <f>B110+(B110*0.04)</f>
        <v>174643.81937526658</v>
      </c>
      <c r="D110" s="17">
        <f>B110/3250</f>
        <v>51.66976904593686</v>
      </c>
      <c r="E110" s="28">
        <f>(C110-B110)/D110</f>
        <v>130.00000000000011</v>
      </c>
      <c r="F110" s="26"/>
      <c r="G110" s="33"/>
      <c r="H110" s="19">
        <f>D110*50/B110</f>
        <v>1.5384615384615387E-2</v>
      </c>
    </row>
    <row r="111" spans="1:8">
      <c r="A111" s="15">
        <f>A110+7</f>
        <v>43485</v>
      </c>
      <c r="B111" s="20">
        <f>C110+F110-G110</f>
        <v>174643.81937526658</v>
      </c>
      <c r="C111" s="17">
        <f>B111+(B111*0.04)</f>
        <v>181629.57215027724</v>
      </c>
      <c r="D111" s="17">
        <f>B111/3250</f>
        <v>53.736559807774334</v>
      </c>
      <c r="E111" s="28">
        <f>(C111-B111)/D111</f>
        <v>129.9999999999998</v>
      </c>
      <c r="F111" s="26"/>
      <c r="G111" s="33"/>
      <c r="H111" s="19">
        <f>D111*50/B111</f>
        <v>1.5384615384615385E-2</v>
      </c>
    </row>
    <row r="112" spans="1:8" ht="13.5" thickBot="1">
      <c r="A112" s="15">
        <f>A111+7</f>
        <v>43492</v>
      </c>
      <c r="B112" s="20">
        <f>C111+F111-G111</f>
        <v>181629.57215027724</v>
      </c>
      <c r="C112" s="17">
        <f>B112+(B112*0.04)</f>
        <v>188894.75503628832</v>
      </c>
      <c r="D112" s="17">
        <f>B112/3250</f>
        <v>55.8860222000853</v>
      </c>
      <c r="E112" s="28">
        <f>(C112-B112)/D112</f>
        <v>129.99999999999991</v>
      </c>
      <c r="F112" s="26"/>
      <c r="G112" s="33"/>
      <c r="H112" s="19">
        <f>D112*50/B112</f>
        <v>1.5384615384615384E-2</v>
      </c>
    </row>
    <row r="113" spans="1:8" ht="13.5" thickBot="1">
      <c r="A113" s="13"/>
      <c r="B113" s="22"/>
      <c r="C113" s="23"/>
      <c r="D113" s="23"/>
      <c r="E113" s="27"/>
      <c r="F113" s="30"/>
      <c r="G113" s="10"/>
      <c r="H113" s="24"/>
    </row>
    <row r="114" spans="1:8">
      <c r="A114" s="15">
        <f>A112+7</f>
        <v>43499</v>
      </c>
      <c r="B114" s="20">
        <f>C112+F112-G112</f>
        <v>188894.75503628832</v>
      </c>
      <c r="C114" s="17">
        <f>B114+(B114*0.04)</f>
        <v>196450.54523773986</v>
      </c>
      <c r="D114" s="17">
        <f>B114/3250</f>
        <v>58.121463088088717</v>
      </c>
      <c r="E114" s="28">
        <f>(C114-B114)/D114</f>
        <v>130.00000000000014</v>
      </c>
      <c r="F114" s="26"/>
      <c r="G114" s="33"/>
      <c r="H114" s="19">
        <f>D114*50/B114</f>
        <v>1.5384615384615384E-2</v>
      </c>
    </row>
    <row r="115" spans="1:8">
      <c r="A115" s="15">
        <f>A114+7</f>
        <v>43506</v>
      </c>
      <c r="B115" s="20">
        <f>C114+F114-G114</f>
        <v>196450.54523773986</v>
      </c>
      <c r="C115" s="17">
        <f>B115+(B115*0.04)</f>
        <v>204308.56704724947</v>
      </c>
      <c r="D115" s="17">
        <f>B115/3250</f>
        <v>60.446321611612262</v>
      </c>
      <c r="E115" s="28">
        <f>(C115-B115)/D115</f>
        <v>130.0000000000002</v>
      </c>
      <c r="F115" s="26"/>
      <c r="G115" s="33"/>
      <c r="H115" s="19">
        <f>D115*50/B115</f>
        <v>1.5384615384615385E-2</v>
      </c>
    </row>
    <row r="116" spans="1:8">
      <c r="A116" s="15">
        <f>A115+7</f>
        <v>43513</v>
      </c>
      <c r="B116" s="20">
        <f>C115+F115-G115</f>
        <v>204308.56704724947</v>
      </c>
      <c r="C116" s="17">
        <f>B116+(B116*0.04)</f>
        <v>212480.90972913944</v>
      </c>
      <c r="D116" s="17">
        <f>B116/3250</f>
        <v>62.864174476076762</v>
      </c>
      <c r="E116" s="28">
        <f>(C116-B116)/D116</f>
        <v>129.99999999999994</v>
      </c>
      <c r="F116" s="26"/>
      <c r="G116" s="33"/>
      <c r="H116" s="19">
        <f>D116*50/B116</f>
        <v>1.5384615384615385E-2</v>
      </c>
    </row>
    <row r="117" spans="1:8" ht="13.5" thickBot="1">
      <c r="A117" s="15">
        <f>A116+7</f>
        <v>43520</v>
      </c>
      <c r="B117" s="20">
        <f>C116+F116-G116</f>
        <v>212480.90972913944</v>
      </c>
      <c r="C117" s="17">
        <f>B117+(B117*0.04)</f>
        <v>220980.14611830501</v>
      </c>
      <c r="D117" s="17">
        <f>B117/3250</f>
        <v>65.378741455119822</v>
      </c>
      <c r="E117" s="28">
        <f>(C117-B117)/D117</f>
        <v>129.99999999999989</v>
      </c>
      <c r="F117" s="26"/>
      <c r="G117" s="33"/>
      <c r="H117" s="19">
        <f>D117*50/B117</f>
        <v>1.5384615384615384E-2</v>
      </c>
    </row>
    <row r="118" spans="1:8" ht="13.5" thickBot="1">
      <c r="A118" s="13"/>
      <c r="B118" s="22"/>
      <c r="C118" s="23"/>
      <c r="D118" s="23"/>
      <c r="E118" s="27"/>
      <c r="F118" s="30"/>
      <c r="G118" s="10"/>
      <c r="H118" s="24"/>
    </row>
    <row r="119" spans="1:8">
      <c r="A119" s="15">
        <f>A117+7</f>
        <v>43527</v>
      </c>
      <c r="B119" s="20">
        <f>C117+F117-G117</f>
        <v>220980.14611830501</v>
      </c>
      <c r="C119" s="17">
        <f>B119+(B119*0.04)</f>
        <v>229819.35196303722</v>
      </c>
      <c r="D119" s="17">
        <f>B119/3250</f>
        <v>67.993891113324622</v>
      </c>
      <c r="E119" s="28">
        <f>(C119-B119)/D119</f>
        <v>130.00000000000006</v>
      </c>
      <c r="F119" s="26"/>
      <c r="G119" s="33"/>
      <c r="H119" s="19">
        <f>D119*50/B119</f>
        <v>1.5384615384615385E-2</v>
      </c>
    </row>
    <row r="120" spans="1:8">
      <c r="A120" s="15">
        <f>A119+7</f>
        <v>43534</v>
      </c>
      <c r="B120" s="20">
        <f>C119+F119-G119</f>
        <v>229819.35196303722</v>
      </c>
      <c r="C120" s="17">
        <f>B120+(B120*0.04)</f>
        <v>239012.12604155872</v>
      </c>
      <c r="D120" s="17">
        <f>B120/3250</f>
        <v>70.713646757857603</v>
      </c>
      <c r="E120" s="28">
        <f>(C120-B120)/D120</f>
        <v>130.00000000000014</v>
      </c>
      <c r="F120" s="26"/>
      <c r="G120" s="33"/>
      <c r="H120" s="19">
        <f>D120*50/B120</f>
        <v>1.5384615384615384E-2</v>
      </c>
    </row>
    <row r="121" spans="1:8">
      <c r="A121" s="15">
        <f>A120+7</f>
        <v>43541</v>
      </c>
      <c r="B121" s="20">
        <f>C120+F120-G120</f>
        <v>239012.12604155872</v>
      </c>
      <c r="C121" s="17">
        <f>B121+(B121*0.04)</f>
        <v>248572.61108322107</v>
      </c>
      <c r="D121" s="17">
        <f>B121/3250</f>
        <v>73.542192628171918</v>
      </c>
      <c r="E121" s="28">
        <f>(C121-B121)/D121</f>
        <v>130.00000000000003</v>
      </c>
      <c r="F121" s="26"/>
      <c r="G121" s="33"/>
      <c r="H121" s="19">
        <f>D121*50/B121</f>
        <v>1.5384615384615385E-2</v>
      </c>
    </row>
    <row r="122" spans="1:8" ht="13.5" thickBot="1">
      <c r="A122" s="15">
        <f>A121+7</f>
        <v>43548</v>
      </c>
      <c r="B122" s="20">
        <f>C121+F121-G121</f>
        <v>248572.61108322107</v>
      </c>
      <c r="C122" s="17">
        <f>B122+(B122*0.04)</f>
        <v>258515.51552654992</v>
      </c>
      <c r="D122" s="17">
        <f>B122/3250</f>
        <v>76.483880333298785</v>
      </c>
      <c r="E122" s="28">
        <f>(C122-B122)/D122</f>
        <v>130.00000000000011</v>
      </c>
      <c r="F122" s="26"/>
      <c r="G122" s="33"/>
      <c r="H122" s="19">
        <f>D122*50/B122</f>
        <v>1.5384615384615384E-2</v>
      </c>
    </row>
    <row r="123" spans="1:8" ht="13.5" thickBot="1">
      <c r="A123" s="13"/>
      <c r="B123" s="22"/>
      <c r="C123" s="23"/>
      <c r="D123" s="23"/>
      <c r="E123" s="27"/>
      <c r="F123" s="30"/>
      <c r="G123" s="10"/>
      <c r="H123" s="24"/>
    </row>
    <row r="124" spans="1:8">
      <c r="A124" s="15">
        <f>A122+7</f>
        <v>43555</v>
      </c>
      <c r="B124" s="20">
        <f>C122+F122-G122</f>
        <v>258515.51552654992</v>
      </c>
      <c r="C124" s="17">
        <f>B124+(B124*0.04)</f>
        <v>268856.13614761189</v>
      </c>
      <c r="D124" s="17">
        <f>B124/3250</f>
        <v>79.54323554663074</v>
      </c>
      <c r="E124" s="28">
        <f>(C124-B124)/D124</f>
        <v>129.99999999999969</v>
      </c>
      <c r="F124" s="26"/>
      <c r="G124" s="33"/>
      <c r="H124" s="19">
        <f>D124*50/B124</f>
        <v>1.5384615384615384E-2</v>
      </c>
    </row>
    <row r="125" spans="1:8">
      <c r="A125" s="15">
        <f>A124+7</f>
        <v>43562</v>
      </c>
      <c r="B125" s="20">
        <f>C124+F124-G124</f>
        <v>268856.13614761189</v>
      </c>
      <c r="C125" s="17">
        <f>B125+(B125*0.04)</f>
        <v>279610.38159351639</v>
      </c>
      <c r="D125" s="17">
        <f>B125/3250</f>
        <v>82.724964968495968</v>
      </c>
      <c r="E125" s="28">
        <f>(C125-B125)/D125</f>
        <v>130.00000000000026</v>
      </c>
      <c r="F125" s="26"/>
      <c r="G125" s="33"/>
      <c r="H125" s="19">
        <f>D125*50/B125</f>
        <v>1.5384615384615385E-2</v>
      </c>
    </row>
    <row r="126" spans="1:8">
      <c r="A126" s="15">
        <f>A125+7</f>
        <v>43569</v>
      </c>
      <c r="B126" s="20">
        <f>C125+F125-G125</f>
        <v>279610.38159351639</v>
      </c>
      <c r="C126" s="17">
        <f>B126+(B126*0.04)</f>
        <v>290794.79685725702</v>
      </c>
      <c r="D126" s="17">
        <f>B126/3250</f>
        <v>86.033963567235816</v>
      </c>
      <c r="E126" s="28">
        <f>(C126-B126)/D126</f>
        <v>129.99999999999977</v>
      </c>
      <c r="F126" s="26"/>
      <c r="G126" s="33"/>
      <c r="H126" s="19">
        <f>D126*50/B126</f>
        <v>1.5384615384615387E-2</v>
      </c>
    </row>
    <row r="127" spans="1:8" ht="13.5" thickBot="1">
      <c r="A127" s="15">
        <f>A126+7</f>
        <v>43576</v>
      </c>
      <c r="B127" s="20">
        <f>C126+F126-G126</f>
        <v>290794.79685725702</v>
      </c>
      <c r="C127" s="17">
        <f>B127+(B127*0.04)</f>
        <v>302426.58873154729</v>
      </c>
      <c r="D127" s="17">
        <f>B127/3250</f>
        <v>89.475322109925244</v>
      </c>
      <c r="E127" s="28">
        <f>(C127-B127)/D127</f>
        <v>129.99999999999986</v>
      </c>
      <c r="F127" s="26"/>
      <c r="G127" s="33"/>
      <c r="H127" s="19">
        <f>D127*50/B127</f>
        <v>1.5384615384615384E-2</v>
      </c>
    </row>
    <row r="128" spans="1:8" ht="13.5" thickBot="1">
      <c r="A128" s="13"/>
      <c r="B128" s="22"/>
      <c r="C128" s="23"/>
      <c r="D128" s="23"/>
      <c r="E128" s="27"/>
      <c r="F128" s="30"/>
      <c r="G128" s="10"/>
      <c r="H128" s="24"/>
    </row>
    <row r="129" spans="1:8">
      <c r="A129" s="15">
        <f>A127+7</f>
        <v>43583</v>
      </c>
      <c r="B129" s="20">
        <f>C127+F127-G127</f>
        <v>302426.58873154729</v>
      </c>
      <c r="C129" s="17">
        <f>B129+(B129*0.04)</f>
        <v>314523.65228080918</v>
      </c>
      <c r="D129" s="17">
        <f>B129/3250</f>
        <v>93.054334994322247</v>
      </c>
      <c r="E129" s="28">
        <f>(C129-B129)/D129</f>
        <v>129.99999999999997</v>
      </c>
      <c r="F129" s="26"/>
      <c r="G129" s="33"/>
      <c r="H129" s="19">
        <f>D129*50/B129</f>
        <v>1.5384615384615385E-2</v>
      </c>
    </row>
    <row r="130" spans="1:8">
      <c r="A130" s="15">
        <f>A129+7</f>
        <v>43590</v>
      </c>
      <c r="B130" s="20">
        <f>C129+F129-G129</f>
        <v>314523.65228080918</v>
      </c>
      <c r="C130" s="17">
        <f>B130+(B130*0.04)</f>
        <v>327104.59837204154</v>
      </c>
      <c r="D130" s="17">
        <f>B130/3250</f>
        <v>96.776508394095131</v>
      </c>
      <c r="E130" s="28">
        <f>(C130-B130)/D130</f>
        <v>129.99999999999989</v>
      </c>
      <c r="F130" s="26"/>
      <c r="G130" s="33"/>
      <c r="H130" s="19">
        <f>D130*50/B130</f>
        <v>1.5384615384615384E-2</v>
      </c>
    </row>
    <row r="131" spans="1:8">
      <c r="A131" s="15">
        <f>A130+7</f>
        <v>43597</v>
      </c>
      <c r="B131" s="20">
        <f>C130+F130-G130</f>
        <v>327104.59837204154</v>
      </c>
      <c r="C131" s="17">
        <f>B131+(B131*0.04)</f>
        <v>340188.78230692318</v>
      </c>
      <c r="D131" s="17">
        <f>B131/3250</f>
        <v>100.64756872985893</v>
      </c>
      <c r="E131" s="28">
        <f>(C131-B131)/D131</f>
        <v>129.99999999999983</v>
      </c>
      <c r="F131" s="26"/>
      <c r="G131" s="33"/>
      <c r="H131" s="19">
        <f>D131*50/B131</f>
        <v>1.5384615384615385E-2</v>
      </c>
    </row>
    <row r="132" spans="1:8" ht="13.5" thickBot="1">
      <c r="A132" s="15">
        <f>A131+7</f>
        <v>43604</v>
      </c>
      <c r="B132" s="20">
        <f>C131+F131-G131</f>
        <v>340188.78230692318</v>
      </c>
      <c r="C132" s="17">
        <f>B132+(B132*0.04)</f>
        <v>353796.33359920012</v>
      </c>
      <c r="D132" s="17">
        <f>B132/3250</f>
        <v>104.67347147905329</v>
      </c>
      <c r="E132" s="28">
        <f>(C132-B132)/D132</f>
        <v>130.00000000000014</v>
      </c>
      <c r="F132" s="26"/>
      <c r="G132" s="33"/>
      <c r="H132" s="19">
        <f>D132*50/B132</f>
        <v>1.5384615384615385E-2</v>
      </c>
    </row>
    <row r="133" spans="1:8" ht="13.5" thickBot="1">
      <c r="A133" s="13"/>
      <c r="B133" s="22"/>
      <c r="C133" s="23"/>
      <c r="D133" s="23"/>
      <c r="E133" s="27"/>
      <c r="F133" s="30"/>
      <c r="G133" s="10"/>
      <c r="H133" s="24"/>
    </row>
    <row r="134" spans="1:8">
      <c r="A134" s="15">
        <f>A132+7</f>
        <v>43611</v>
      </c>
      <c r="B134" s="20">
        <f>C132+F132-G132</f>
        <v>353796.33359920012</v>
      </c>
      <c r="C134" s="17">
        <f>B134+(B134*0.04)</f>
        <v>367948.18694316811</v>
      </c>
      <c r="D134" s="17">
        <f>B134/3250</f>
        <v>108.86041033821542</v>
      </c>
      <c r="E134" s="28">
        <f>(C134-B134)/D134</f>
        <v>129.99999999999986</v>
      </c>
      <c r="F134" s="26"/>
      <c r="G134" s="33"/>
      <c r="H134" s="19">
        <f>D134*50/B134</f>
        <v>1.5384615384615385E-2</v>
      </c>
    </row>
    <row r="135" spans="1:8">
      <c r="A135" s="15">
        <f>A134+7</f>
        <v>43618</v>
      </c>
      <c r="B135" s="20">
        <f>C134+F134-G134</f>
        <v>367948.18694316811</v>
      </c>
      <c r="C135" s="17">
        <f>B135+(B135*0.04)</f>
        <v>382666.11442089482</v>
      </c>
      <c r="D135" s="17">
        <f>B135/3250</f>
        <v>113.21482675174403</v>
      </c>
      <c r="E135" s="28">
        <f>(C135-B135)/D135</f>
        <v>129.99999999999991</v>
      </c>
      <c r="F135" s="26"/>
      <c r="G135" s="33"/>
      <c r="H135" s="19">
        <f>D135*50/B135</f>
        <v>1.5384615384615384E-2</v>
      </c>
    </row>
    <row r="136" spans="1:8">
      <c r="A136" s="15">
        <f>A135+7</f>
        <v>43625</v>
      </c>
      <c r="B136" s="20">
        <f>C135+F135-G135</f>
        <v>382666.11442089482</v>
      </c>
      <c r="C136" s="17">
        <f>B136+(B136*0.04)</f>
        <v>397972.75899773062</v>
      </c>
      <c r="D136" s="17">
        <f>B136/3250</f>
        <v>117.74341982181379</v>
      </c>
      <c r="E136" s="28">
        <f>(C136-B136)/D136</f>
        <v>130.00000000000003</v>
      </c>
      <c r="F136" s="26"/>
      <c r="G136" s="33"/>
      <c r="H136" s="19">
        <f>D136*50/B136</f>
        <v>1.5384615384615384E-2</v>
      </c>
    </row>
    <row r="137" spans="1:8">
      <c r="A137" s="15">
        <f>A136+7</f>
        <v>43632</v>
      </c>
      <c r="B137" s="20">
        <f>C136+F136-G136</f>
        <v>397972.75899773062</v>
      </c>
      <c r="C137" s="17">
        <f>B137+(B137*0.04)</f>
        <v>413891.66935763985</v>
      </c>
      <c r="D137" s="17">
        <f>B137/3250</f>
        <v>122.45315661468635</v>
      </c>
      <c r="E137" s="28">
        <f>(C137-B137)/D137</f>
        <v>130.00000000000006</v>
      </c>
      <c r="F137" s="26"/>
      <c r="G137" s="33"/>
      <c r="H137" s="19">
        <f>D137*50/B137</f>
        <v>1.5384615384615384E-2</v>
      </c>
    </row>
    <row r="138" spans="1:8" ht="14.25" customHeight="1" thickBot="1">
      <c r="A138" s="15">
        <f>A137+7</f>
        <v>43639</v>
      </c>
      <c r="B138" s="20">
        <f>C137+F137-G137</f>
        <v>413891.66935763985</v>
      </c>
      <c r="C138" s="17">
        <f>B138+(B138*0.04)</f>
        <v>430447.33613194543</v>
      </c>
      <c r="D138" s="17">
        <f>B138/3250</f>
        <v>127.3512828792738</v>
      </c>
      <c r="E138" s="28">
        <f>(C138-B138)/D138</f>
        <v>129.99999999999983</v>
      </c>
      <c r="F138" s="26"/>
      <c r="G138" s="33"/>
      <c r="H138" s="19">
        <f>D138*50/B138</f>
        <v>1.5384615384615385E-2</v>
      </c>
    </row>
    <row r="139" spans="1:8" ht="13.5" thickBot="1">
      <c r="A139" s="13"/>
      <c r="B139" s="22"/>
      <c r="C139" s="23"/>
      <c r="D139" s="23"/>
      <c r="E139" s="27"/>
      <c r="F139" s="30"/>
      <c r="G139" s="10"/>
      <c r="H139" s="24"/>
    </row>
  </sheetData>
  <mergeCells count="1">
    <mergeCell ref="A1:H1"/>
  </mergeCells>
  <pageMargins left="0.7" right="0.7" top="0.75" bottom="0.75" header="0.3" footer="0.3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I139"/>
  <sheetViews>
    <sheetView zoomScaleNormal="100" workbookViewId="0">
      <selection activeCell="C15" sqref="C15"/>
    </sheetView>
  </sheetViews>
  <sheetFormatPr defaultColWidth="9.140625" defaultRowHeight="12.75"/>
  <cols>
    <col min="1" max="1" width="9.5703125" style="75" bestFit="1" customWidth="1"/>
    <col min="3" max="3" width="9.5703125" customWidth="1"/>
    <col min="4" max="4" width="10.5703125" bestFit="1" customWidth="1"/>
    <col min="5" max="5" width="6.5703125" bestFit="1" customWidth="1"/>
    <col min="6" max="6" width="6" bestFit="1" customWidth="1"/>
    <col min="7" max="7" width="7.85546875" bestFit="1" customWidth="1"/>
    <col min="8" max="8" width="12" bestFit="1" customWidth="1"/>
    <col min="9" max="9" width="9" bestFit="1" customWidth="1"/>
  </cols>
  <sheetData>
    <row r="1" spans="1:9" ht="16.5" thickBot="1">
      <c r="B1" s="100" t="s">
        <v>46</v>
      </c>
      <c r="C1" s="101"/>
      <c r="D1" s="101"/>
      <c r="E1" s="101"/>
      <c r="F1" s="101"/>
      <c r="G1" s="101"/>
      <c r="H1" s="101"/>
      <c r="I1" s="102"/>
    </row>
    <row r="2" spans="1:9" ht="18.75" customHeight="1" thickBot="1">
      <c r="A2" s="77" t="s">
        <v>41</v>
      </c>
      <c r="B2" s="3" t="s">
        <v>3</v>
      </c>
      <c r="C2" s="4" t="s">
        <v>4</v>
      </c>
      <c r="D2" s="5" t="s">
        <v>5</v>
      </c>
      <c r="E2" s="5" t="s">
        <v>13</v>
      </c>
      <c r="F2" s="5" t="s">
        <v>14</v>
      </c>
      <c r="G2" s="5" t="s">
        <v>6</v>
      </c>
      <c r="H2" s="5" t="s">
        <v>6</v>
      </c>
      <c r="I2" s="14" t="s">
        <v>15</v>
      </c>
    </row>
    <row r="3" spans="1:9" ht="13.5" thickBot="1">
      <c r="A3" s="78"/>
      <c r="B3" s="3" t="s">
        <v>8</v>
      </c>
      <c r="C3" s="7" t="s">
        <v>9</v>
      </c>
      <c r="D3" s="8" t="s">
        <v>9</v>
      </c>
      <c r="E3" s="8" t="s">
        <v>17</v>
      </c>
      <c r="F3" s="8" t="s">
        <v>18</v>
      </c>
      <c r="G3" s="8" t="s">
        <v>10</v>
      </c>
      <c r="H3" s="8" t="s">
        <v>11</v>
      </c>
      <c r="I3" s="14" t="s">
        <v>19</v>
      </c>
    </row>
    <row r="4" spans="1:9">
      <c r="A4" s="87">
        <v>1</v>
      </c>
      <c r="B4" s="15">
        <v>42883</v>
      </c>
      <c r="C4" s="20">
        <v>1000</v>
      </c>
      <c r="D4" s="17">
        <f>C4+(C4*0.04)</f>
        <v>1040</v>
      </c>
      <c r="E4" s="17">
        <f>C4/3250</f>
        <v>0.30769230769230771</v>
      </c>
      <c r="F4" s="85">
        <f>(D4-C4)/E4</f>
        <v>130</v>
      </c>
      <c r="G4" s="26"/>
      <c r="H4" s="18"/>
      <c r="I4" s="19">
        <f>E4*50/C4</f>
        <v>1.5384615384615385E-2</v>
      </c>
    </row>
    <row r="5" spans="1:9">
      <c r="A5" s="88"/>
      <c r="B5" s="15">
        <f>B4+7</f>
        <v>42890</v>
      </c>
      <c r="C5" s="20">
        <f>D4+G4-H4</f>
        <v>1040</v>
      </c>
      <c r="D5" s="17">
        <f>C5+(C5*0.04)</f>
        <v>1081.5999999999999</v>
      </c>
      <c r="E5" s="17">
        <f>C5/3250</f>
        <v>0.32</v>
      </c>
      <c r="F5" s="85">
        <f>(D5-C5)/E5</f>
        <v>129.99999999999972</v>
      </c>
      <c r="G5" s="18"/>
      <c r="H5" s="18"/>
      <c r="I5" s="19">
        <f>E5*50/C5</f>
        <v>1.5384615384615385E-2</v>
      </c>
    </row>
    <row r="6" spans="1:9">
      <c r="A6" s="88"/>
      <c r="B6" s="15">
        <f>B5+7</f>
        <v>42897</v>
      </c>
      <c r="C6" s="20">
        <f>D5+G5-H5</f>
        <v>1081.5999999999999</v>
      </c>
      <c r="D6" s="17">
        <f>C6+(C6*0.04)</f>
        <v>1124.8639999999998</v>
      </c>
      <c r="E6" s="17">
        <f>C6/3250</f>
        <v>0.33279999999999998</v>
      </c>
      <c r="F6" s="85">
        <f>(D6-C6)/E6</f>
        <v>129.99999999999969</v>
      </c>
      <c r="G6" s="18"/>
      <c r="H6" s="18"/>
      <c r="I6" s="19">
        <f>E6*50/C6</f>
        <v>1.5384615384615387E-2</v>
      </c>
    </row>
    <row r="7" spans="1:9" ht="13.5" thickBot="1">
      <c r="A7" s="89"/>
      <c r="B7" s="15">
        <f>B6+7</f>
        <v>42904</v>
      </c>
      <c r="C7" s="20">
        <f>D6+G6-H6</f>
        <v>1124.8639999999998</v>
      </c>
      <c r="D7" s="17">
        <f>C7+(C7*0.04)</f>
        <v>1169.8585599999999</v>
      </c>
      <c r="E7" s="17">
        <f>C7/3250</f>
        <v>0.34611199999999992</v>
      </c>
      <c r="F7" s="85">
        <f>(D7-C7)/E7</f>
        <v>130.00000000000028</v>
      </c>
      <c r="G7" s="26"/>
      <c r="H7" s="18"/>
      <c r="I7" s="19">
        <f>E7*50/C7</f>
        <v>1.5384615384615382E-2</v>
      </c>
    </row>
    <row r="8" spans="1:9" ht="13.5" thickBot="1">
      <c r="A8" s="79"/>
      <c r="B8" s="13"/>
      <c r="C8" s="22"/>
      <c r="D8" s="23"/>
      <c r="E8" s="23"/>
      <c r="F8" s="27"/>
      <c r="G8" s="30"/>
      <c r="H8" s="10"/>
      <c r="I8" s="24"/>
    </row>
    <row r="9" spans="1:9">
      <c r="A9" s="87">
        <v>2</v>
      </c>
      <c r="B9" s="15">
        <f>B7+7</f>
        <v>42911</v>
      </c>
      <c r="C9" s="20">
        <f>D7+G7-H7</f>
        <v>1169.8585599999999</v>
      </c>
      <c r="D9" s="17">
        <f>C9+(C9*0.04)</f>
        <v>1216.6529023999999</v>
      </c>
      <c r="E9" s="17">
        <f>C9/3250</f>
        <v>0.35995647999999997</v>
      </c>
      <c r="F9" s="28">
        <f>(D9-C9)/E9</f>
        <v>130.00000000000003</v>
      </c>
      <c r="G9" s="26"/>
      <c r="H9" s="18"/>
      <c r="I9" s="19">
        <f>E9*50/C9</f>
        <v>1.5384615384615384E-2</v>
      </c>
    </row>
    <row r="10" spans="1:9" s="1" customFormat="1">
      <c r="A10" s="88"/>
      <c r="B10" s="15">
        <f>B9+7</f>
        <v>42918</v>
      </c>
      <c r="C10" s="20">
        <f>D9+G9-H9</f>
        <v>1216.6529023999999</v>
      </c>
      <c r="D10" s="17">
        <f>C10+(C10*0.04)</f>
        <v>1265.3190184959999</v>
      </c>
      <c r="E10" s="17">
        <f>C10/3250</f>
        <v>0.37435473919999995</v>
      </c>
      <c r="F10" s="28">
        <f>(D10-C10)/E10</f>
        <v>130</v>
      </c>
      <c r="G10" s="18"/>
      <c r="H10" s="18"/>
      <c r="I10" s="19">
        <f>E10*50/C10</f>
        <v>1.5384615384615382E-2</v>
      </c>
    </row>
    <row r="11" spans="1:9" s="1" customFormat="1">
      <c r="A11" s="88"/>
      <c r="B11" s="15">
        <f>B10+7</f>
        <v>42925</v>
      </c>
      <c r="C11" s="20">
        <f>D10+G10-H10</f>
        <v>1265.3190184959999</v>
      </c>
      <c r="D11" s="17">
        <f>C11+(C11*0.04)</f>
        <v>1315.9317792358399</v>
      </c>
      <c r="E11" s="17">
        <f>C11/3250</f>
        <v>0.38932892876799996</v>
      </c>
      <c r="F11" s="28">
        <f>(D11-C11)/E11</f>
        <v>130.00000000000011</v>
      </c>
      <c r="G11" s="18"/>
      <c r="H11" s="18"/>
      <c r="I11" s="19">
        <f>E11*50/C11</f>
        <v>1.5384615384615385E-2</v>
      </c>
    </row>
    <row r="12" spans="1:9" s="1" customFormat="1" ht="13.5" thickBot="1">
      <c r="A12" s="89"/>
      <c r="B12" s="15">
        <f>B11+7</f>
        <v>42932</v>
      </c>
      <c r="C12" s="20">
        <f>D11+G11-H11</f>
        <v>1315.9317792358399</v>
      </c>
      <c r="D12" s="17">
        <f>C12+(C12*0.04)</f>
        <v>1368.5690504052736</v>
      </c>
      <c r="E12" s="17">
        <f>C12/3250</f>
        <v>0.40490208591871996</v>
      </c>
      <c r="F12" s="28">
        <f>(D12-C12)/E12</f>
        <v>130.00000000000023</v>
      </c>
      <c r="G12" s="26"/>
      <c r="H12" s="18"/>
      <c r="I12" s="19">
        <f>E12*50/C12</f>
        <v>1.5384615384615384E-2</v>
      </c>
    </row>
    <row r="13" spans="1:9" ht="13.5" thickBot="1">
      <c r="A13" s="79"/>
      <c r="B13" s="13"/>
      <c r="C13" s="22"/>
      <c r="D13" s="23"/>
      <c r="E13" s="23"/>
      <c r="F13" s="27"/>
      <c r="G13" s="30"/>
      <c r="H13" s="10"/>
      <c r="I13" s="24"/>
    </row>
    <row r="14" spans="1:9" s="1" customFormat="1">
      <c r="A14" s="87">
        <v>3</v>
      </c>
      <c r="B14" s="15">
        <f>B12+7</f>
        <v>42939</v>
      </c>
      <c r="C14" s="20">
        <f>D12+G12-H12</f>
        <v>1368.5690504052736</v>
      </c>
      <c r="D14" s="17">
        <f>C14+(C14*0.04)</f>
        <v>1423.3118124214845</v>
      </c>
      <c r="E14" s="17">
        <f>C14/3250</f>
        <v>0.42109816935546879</v>
      </c>
      <c r="F14" s="28">
        <f>(D14-C14)/E14</f>
        <v>129.99999999999994</v>
      </c>
      <c r="G14" s="26"/>
      <c r="H14" s="18"/>
      <c r="I14" s="19">
        <f>E14*50/C14</f>
        <v>1.5384615384615385E-2</v>
      </c>
    </row>
    <row r="15" spans="1:9" s="1" customFormat="1" ht="15">
      <c r="A15" s="88"/>
      <c r="B15" s="15">
        <f>B14+7</f>
        <v>42946</v>
      </c>
      <c r="C15" s="32">
        <f>D14+G14-H14</f>
        <v>1423.3118124214845</v>
      </c>
      <c r="D15" s="17">
        <f>C15+(C15*0.04)</f>
        <v>1480.244284918344</v>
      </c>
      <c r="E15" s="17">
        <f>C15/3250</f>
        <v>0.43794209612968754</v>
      </c>
      <c r="F15" s="28">
        <f>(D15-C15)/E15</f>
        <v>130.00000000000009</v>
      </c>
      <c r="G15" s="18"/>
      <c r="H15" s="18"/>
      <c r="I15" s="19">
        <f>E15*50/C15</f>
        <v>1.5384615384615385E-2</v>
      </c>
    </row>
    <row r="16" spans="1:9" s="1" customFormat="1">
      <c r="A16" s="88"/>
      <c r="B16" s="15">
        <f>B15+7</f>
        <v>42953</v>
      </c>
      <c r="C16" s="20">
        <f>D15+G15-H15</f>
        <v>1480.244284918344</v>
      </c>
      <c r="D16" s="17">
        <f>C16+(C16*0.04)</f>
        <v>1539.4540563150777</v>
      </c>
      <c r="E16" s="17">
        <f>C16/3250</f>
        <v>0.45545977997487508</v>
      </c>
      <c r="F16" s="28">
        <f>(D16-C16)/E16</f>
        <v>129.99999999999983</v>
      </c>
      <c r="G16" s="18"/>
      <c r="H16" s="18"/>
      <c r="I16" s="19">
        <f>E16*50/C16</f>
        <v>1.5384615384615384E-2</v>
      </c>
    </row>
    <row r="17" spans="1:9" s="1" customFormat="1" ht="13.5" thickBot="1">
      <c r="A17" s="89"/>
      <c r="B17" s="15">
        <f>B16+7</f>
        <v>42960</v>
      </c>
      <c r="C17" s="20">
        <f>D16+G16-H16</f>
        <v>1539.4540563150777</v>
      </c>
      <c r="D17" s="17">
        <f>C17+(C17*0.04)</f>
        <v>1601.0322185676807</v>
      </c>
      <c r="E17" s="17">
        <f>C17/3250</f>
        <v>0.47367817117387007</v>
      </c>
      <c r="F17" s="28">
        <f>(D17-C17)/E17</f>
        <v>129.99999999999994</v>
      </c>
      <c r="G17" s="26"/>
      <c r="H17" s="18"/>
      <c r="I17" s="19">
        <f>E17*50/C17</f>
        <v>1.5384615384615385E-2</v>
      </c>
    </row>
    <row r="18" spans="1:9" ht="13.5" thickBot="1">
      <c r="A18" s="79"/>
      <c r="B18" s="13"/>
      <c r="C18" s="22"/>
      <c r="D18" s="23"/>
      <c r="E18" s="23"/>
      <c r="F18" s="27"/>
      <c r="G18" s="30"/>
      <c r="H18" s="10"/>
      <c r="I18" s="24"/>
    </row>
    <row r="19" spans="1:9" s="1" customFormat="1">
      <c r="A19" s="87">
        <v>4</v>
      </c>
      <c r="B19" s="15">
        <f>B17+7</f>
        <v>42967</v>
      </c>
      <c r="C19" s="20">
        <f>D17+G17-H17</f>
        <v>1601.0322185676807</v>
      </c>
      <c r="D19" s="17">
        <f>C19+(C19*0.04)</f>
        <v>1665.0735073103879</v>
      </c>
      <c r="E19" s="17">
        <f>C19/3250</f>
        <v>0.49262529802082483</v>
      </c>
      <c r="F19" s="28">
        <f>(D19-C19)/E19</f>
        <v>129.99999999999983</v>
      </c>
      <c r="G19" s="26"/>
      <c r="H19" s="18"/>
      <c r="I19" s="19">
        <f>E19*50/C19</f>
        <v>1.5384615384615384E-2</v>
      </c>
    </row>
    <row r="20" spans="1:9" s="1" customFormat="1">
      <c r="A20" s="88"/>
      <c r="B20" s="15">
        <f>B19+7</f>
        <v>42974</v>
      </c>
      <c r="C20" s="20">
        <f>D19+G19-H19</f>
        <v>1665.0735073103879</v>
      </c>
      <c r="D20" s="17">
        <f>C20+(C20*0.04)</f>
        <v>1731.6764476028034</v>
      </c>
      <c r="E20" s="17">
        <f>C20/3250</f>
        <v>0.51233030994165785</v>
      </c>
      <c r="F20" s="28">
        <f>(D20-C20)/E20</f>
        <v>129.99999999999994</v>
      </c>
      <c r="G20" s="18"/>
      <c r="H20" s="18"/>
      <c r="I20" s="19">
        <f>E20*50/C20</f>
        <v>1.5384615384615387E-2</v>
      </c>
    </row>
    <row r="21" spans="1:9" s="1" customFormat="1">
      <c r="A21" s="88"/>
      <c r="B21" s="15">
        <f>B20+7</f>
        <v>42981</v>
      </c>
      <c r="C21" s="20">
        <f>D20+G20-H20</f>
        <v>1731.6764476028034</v>
      </c>
      <c r="D21" s="17">
        <f>C21+(C21*0.04)</f>
        <v>1800.9435055069155</v>
      </c>
      <c r="E21" s="17">
        <f>C21/3250</f>
        <v>0.53282352233932406</v>
      </c>
      <c r="F21" s="28">
        <f>(D21-C21)/E21</f>
        <v>129.99999999999997</v>
      </c>
      <c r="G21" s="18"/>
      <c r="H21" s="18"/>
      <c r="I21" s="19">
        <f>E21*50/C21</f>
        <v>1.5384615384615384E-2</v>
      </c>
    </row>
    <row r="22" spans="1:9" s="1" customFormat="1" ht="13.5" thickBot="1">
      <c r="A22" s="89"/>
      <c r="B22" s="15">
        <f>B21+7</f>
        <v>42988</v>
      </c>
      <c r="C22" s="20">
        <f>D21+G21-H21</f>
        <v>1800.9435055069155</v>
      </c>
      <c r="D22" s="17">
        <f>C22+(C22*0.04)</f>
        <v>1872.9812457271921</v>
      </c>
      <c r="E22" s="17">
        <f>C22/3250</f>
        <v>0.55413646323289711</v>
      </c>
      <c r="F22" s="28">
        <f>(D22-C22)/E22</f>
        <v>130.00000000000003</v>
      </c>
      <c r="G22" s="26"/>
      <c r="H22" s="18"/>
      <c r="I22" s="19">
        <f>E22*50/C22</f>
        <v>1.5384615384615385E-2</v>
      </c>
    </row>
    <row r="23" spans="1:9" ht="13.5" thickBot="1">
      <c r="A23" s="79"/>
      <c r="B23" s="13"/>
      <c r="C23" s="22"/>
      <c r="D23" s="23"/>
      <c r="E23" s="23"/>
      <c r="F23" s="27"/>
      <c r="G23" s="30"/>
      <c r="H23" s="10"/>
      <c r="I23" s="24"/>
    </row>
    <row r="24" spans="1:9" s="1" customFormat="1">
      <c r="A24" s="87">
        <v>5</v>
      </c>
      <c r="B24" s="15">
        <f>B22+7</f>
        <v>42995</v>
      </c>
      <c r="C24" s="20">
        <f>D22+G22-H22</f>
        <v>1872.9812457271921</v>
      </c>
      <c r="D24" s="17">
        <f>C24+(C24*0.04)</f>
        <v>1947.9004955562798</v>
      </c>
      <c r="E24" s="17">
        <f>C24/3250</f>
        <v>0.57630192176221295</v>
      </c>
      <c r="F24" s="28">
        <f>(D24-C24)/E24</f>
        <v>129.99999999999997</v>
      </c>
      <c r="G24" s="26"/>
      <c r="H24" s="18"/>
      <c r="I24" s="19">
        <f>E24*50/C24</f>
        <v>1.5384615384615384E-2</v>
      </c>
    </row>
    <row r="25" spans="1:9" s="1" customFormat="1">
      <c r="A25" s="88"/>
      <c r="B25" s="15">
        <f>B24+7</f>
        <v>43002</v>
      </c>
      <c r="C25" s="20">
        <f>D24+G24-H24</f>
        <v>1947.9004955562798</v>
      </c>
      <c r="D25" s="17">
        <f>C25+(C25*0.04)</f>
        <v>2025.816515378531</v>
      </c>
      <c r="E25" s="17">
        <f>C25/3250</f>
        <v>0.59935399863270145</v>
      </c>
      <c r="F25" s="28">
        <f>(D25-C25)/E25</f>
        <v>130.00000000000003</v>
      </c>
      <c r="G25" s="18"/>
      <c r="H25" s="18"/>
      <c r="I25" s="19">
        <f>E25*50/C25</f>
        <v>1.5384615384615384E-2</v>
      </c>
    </row>
    <row r="26" spans="1:9" s="1" customFormat="1">
      <c r="A26" s="88"/>
      <c r="B26" s="15">
        <f>B25+7</f>
        <v>43009</v>
      </c>
      <c r="C26" s="20">
        <f>D25+G25-H25</f>
        <v>2025.816515378531</v>
      </c>
      <c r="D26" s="17">
        <f>C26+(C26*0.04)</f>
        <v>2106.8491759936724</v>
      </c>
      <c r="E26" s="17">
        <f>C26/3250</f>
        <v>0.62332815857800949</v>
      </c>
      <c r="F26" s="28">
        <f>(D26-C26)/E26</f>
        <v>130.0000000000002</v>
      </c>
      <c r="G26" s="18"/>
      <c r="H26" s="18"/>
      <c r="I26" s="19">
        <f>E26*50/C26</f>
        <v>1.5384615384615384E-2</v>
      </c>
    </row>
    <row r="27" spans="1:9" s="1" customFormat="1" ht="13.5" thickBot="1">
      <c r="A27" s="89"/>
      <c r="B27" s="15">
        <f>B26+7</f>
        <v>43016</v>
      </c>
      <c r="C27" s="20">
        <f>D26+G26-H26</f>
        <v>2106.8491759936724</v>
      </c>
      <c r="D27" s="17">
        <f>C27+(C27*0.04)</f>
        <v>2191.1231430334192</v>
      </c>
      <c r="E27" s="17">
        <f>C27/3250</f>
        <v>0.64826128492113</v>
      </c>
      <c r="F27" s="28">
        <f>(D27-C27)/E27</f>
        <v>129.99999999999989</v>
      </c>
      <c r="G27" s="26"/>
      <c r="H27" s="18"/>
      <c r="I27" s="19">
        <f>E27*50/C27</f>
        <v>1.5384615384615385E-2</v>
      </c>
    </row>
    <row r="28" spans="1:9" ht="13.5" thickBot="1">
      <c r="A28" s="79"/>
      <c r="B28" s="13"/>
      <c r="C28" s="22"/>
      <c r="D28" s="23"/>
      <c r="E28" s="23"/>
      <c r="F28" s="27"/>
      <c r="G28" s="30"/>
      <c r="H28" s="10"/>
      <c r="I28" s="24"/>
    </row>
    <row r="29" spans="1:9" s="1" customFormat="1">
      <c r="A29" s="87">
        <v>6</v>
      </c>
      <c r="B29" s="15">
        <f>B27+7</f>
        <v>43023</v>
      </c>
      <c r="C29" s="20">
        <f>D27+G27-H27</f>
        <v>2191.1231430334192</v>
      </c>
      <c r="D29" s="17">
        <f>C29+(C29*0.04)</f>
        <v>2278.7680687547559</v>
      </c>
      <c r="E29" s="17">
        <f>C29/3250</f>
        <v>0.67419173631797513</v>
      </c>
      <c r="F29" s="28">
        <f>(D29-C29)/E29</f>
        <v>129.99999999999986</v>
      </c>
      <c r="G29" s="26"/>
      <c r="H29" s="18"/>
      <c r="I29" s="19">
        <f>E29*50/C29</f>
        <v>1.5384615384615385E-2</v>
      </c>
    </row>
    <row r="30" spans="1:9" s="1" customFormat="1">
      <c r="A30" s="88"/>
      <c r="B30" s="15">
        <f>B29+7</f>
        <v>43030</v>
      </c>
      <c r="C30" s="20">
        <f>D29+G29-H29</f>
        <v>2278.7680687547559</v>
      </c>
      <c r="D30" s="17">
        <f>C30+(C30*0.04)</f>
        <v>2369.9187915049461</v>
      </c>
      <c r="E30" s="17">
        <f>C30/3250</f>
        <v>0.70115940577069413</v>
      </c>
      <c r="F30" s="28">
        <f>(D30-C30)/E30</f>
        <v>129.99999999999994</v>
      </c>
      <c r="G30" s="18"/>
      <c r="H30" s="18"/>
      <c r="I30" s="19">
        <f>E30*50/C30</f>
        <v>1.5384615384615384E-2</v>
      </c>
    </row>
    <row r="31" spans="1:9" s="1" customFormat="1">
      <c r="A31" s="88"/>
      <c r="B31" s="15">
        <f>B30+7</f>
        <v>43037</v>
      </c>
      <c r="C31" s="20">
        <f>D30+G30-H30</f>
        <v>2369.9187915049461</v>
      </c>
      <c r="D31" s="17">
        <f>C31+(C31*0.04)</f>
        <v>2464.715543165144</v>
      </c>
      <c r="E31" s="17">
        <f>C31/3250</f>
        <v>0.72920578200152186</v>
      </c>
      <c r="F31" s="28">
        <f>(D31-C31)/E31</f>
        <v>130.00000000000017</v>
      </c>
      <c r="G31" s="18"/>
      <c r="H31" s="18"/>
      <c r="I31" s="19">
        <f>E31*50/C31</f>
        <v>1.5384615384615385E-2</v>
      </c>
    </row>
    <row r="32" spans="1:9" s="1" customFormat="1" ht="13.5" thickBot="1">
      <c r="A32" s="89"/>
      <c r="B32" s="15">
        <f>B31+7</f>
        <v>43044</v>
      </c>
      <c r="C32" s="20">
        <f>D31+G31-H31</f>
        <v>2464.715543165144</v>
      </c>
      <c r="D32" s="17">
        <f>C32+(C32*0.04)</f>
        <v>2563.3041648917497</v>
      </c>
      <c r="E32" s="17">
        <f>C32/3250</f>
        <v>0.75837401328158283</v>
      </c>
      <c r="F32" s="28">
        <f>(D32-C32)/E32</f>
        <v>129.99999999999986</v>
      </c>
      <c r="G32" s="26"/>
      <c r="H32" s="18"/>
      <c r="I32" s="19">
        <f>E32*50/C32</f>
        <v>1.5384615384615385E-2</v>
      </c>
    </row>
    <row r="33" spans="1:9" ht="13.5" thickBot="1">
      <c r="A33" s="79"/>
      <c r="B33" s="13"/>
      <c r="C33" s="22"/>
      <c r="D33" s="23"/>
      <c r="E33" s="23"/>
      <c r="F33" s="27"/>
      <c r="G33" s="30"/>
      <c r="H33" s="10"/>
      <c r="I33" s="24"/>
    </row>
    <row r="34" spans="1:9" s="1" customFormat="1">
      <c r="A34" s="87">
        <v>7</v>
      </c>
      <c r="B34" s="15">
        <f>B32+7</f>
        <v>43051</v>
      </c>
      <c r="C34" s="20">
        <f>D32+G32-H32</f>
        <v>2563.3041648917497</v>
      </c>
      <c r="D34" s="17">
        <f>C34+(C34*0.04)</f>
        <v>2665.8363314874196</v>
      </c>
      <c r="E34" s="17">
        <f>C34/3250</f>
        <v>0.7887089738128461</v>
      </c>
      <c r="F34" s="28">
        <f>(D34-C34)/E34</f>
        <v>129.99999999999986</v>
      </c>
      <c r="G34" s="26"/>
      <c r="H34" s="18"/>
      <c r="I34" s="19">
        <f>E34*50/C34</f>
        <v>1.5384615384615385E-2</v>
      </c>
    </row>
    <row r="35" spans="1:9" s="1" customFormat="1">
      <c r="A35" s="88"/>
      <c r="B35" s="15">
        <f>B34+7</f>
        <v>43058</v>
      </c>
      <c r="C35" s="20">
        <f>D34+G34-H34</f>
        <v>2665.8363314874196</v>
      </c>
      <c r="D35" s="17">
        <f>C35+(C35*0.04)</f>
        <v>2772.4697847469165</v>
      </c>
      <c r="E35" s="17">
        <f>C35/3250</f>
        <v>0.82025733276535984</v>
      </c>
      <c r="F35" s="28">
        <f>(D35-C35)/E35</f>
        <v>130.0000000000002</v>
      </c>
      <c r="G35" s="18"/>
      <c r="H35" s="18"/>
      <c r="I35" s="19">
        <f>E35*50/C35</f>
        <v>1.5384615384615385E-2</v>
      </c>
    </row>
    <row r="36" spans="1:9" s="1" customFormat="1">
      <c r="A36" s="88"/>
      <c r="B36" s="15">
        <f>B35+7</f>
        <v>43065</v>
      </c>
      <c r="C36" s="20">
        <f>D35+G35-H35</f>
        <v>2772.4697847469165</v>
      </c>
      <c r="D36" s="17">
        <f>C36+(C36*0.04)</f>
        <v>2883.3685761367933</v>
      </c>
      <c r="E36" s="17">
        <f>C36/3250</f>
        <v>0.85306762607597431</v>
      </c>
      <c r="F36" s="28">
        <f>(D36-C36)/E36</f>
        <v>130.00000000000017</v>
      </c>
      <c r="G36" s="18"/>
      <c r="H36" s="18"/>
      <c r="I36" s="19">
        <f>E36*50/C36</f>
        <v>1.5384615384615385E-2</v>
      </c>
    </row>
    <row r="37" spans="1:9" s="1" customFormat="1" ht="13.5" thickBot="1">
      <c r="A37" s="89"/>
      <c r="B37" s="15">
        <f>B36+7</f>
        <v>43072</v>
      </c>
      <c r="C37" s="20">
        <f>D36+G36-H36</f>
        <v>2883.3685761367933</v>
      </c>
      <c r="D37" s="17">
        <f>C37+(C37*0.04)</f>
        <v>2998.7033191822652</v>
      </c>
      <c r="E37" s="17">
        <f>C37/3250</f>
        <v>0.88719033111901335</v>
      </c>
      <c r="F37" s="28">
        <f>(D37-C37)/E37</f>
        <v>130.00000000000017</v>
      </c>
      <c r="G37" s="26"/>
      <c r="H37" s="18"/>
      <c r="I37" s="19">
        <f>E37*50/C37</f>
        <v>1.5384615384615385E-2</v>
      </c>
    </row>
    <row r="38" spans="1:9" ht="13.5" thickBot="1">
      <c r="A38" s="79"/>
      <c r="B38" s="13"/>
      <c r="C38" s="22"/>
      <c r="D38" s="23"/>
      <c r="E38" s="23"/>
      <c r="F38" s="27"/>
      <c r="G38" s="30"/>
      <c r="H38" s="10"/>
      <c r="I38" s="24"/>
    </row>
    <row r="39" spans="1:9" s="1" customFormat="1">
      <c r="A39" s="87">
        <v>8</v>
      </c>
      <c r="B39" s="15">
        <f>B37+7</f>
        <v>43079</v>
      </c>
      <c r="C39" s="20">
        <f>D37+G37-H37</f>
        <v>2998.7033191822652</v>
      </c>
      <c r="D39" s="17">
        <f>C39+(C39*0.04)</f>
        <v>3118.6514519495558</v>
      </c>
      <c r="E39" s="17">
        <f>C39/3250</f>
        <v>0.92267794436377393</v>
      </c>
      <c r="F39" s="28">
        <f>(D39-C39)/E39</f>
        <v>130.00000000000003</v>
      </c>
      <c r="G39" s="26"/>
      <c r="H39" s="18"/>
      <c r="I39" s="19">
        <f>E39*50/C39</f>
        <v>1.5384615384615384E-2</v>
      </c>
    </row>
    <row r="40" spans="1:9" s="1" customFormat="1">
      <c r="A40" s="88"/>
      <c r="B40" s="15">
        <f>B39+7</f>
        <v>43086</v>
      </c>
      <c r="C40" s="20">
        <f>D39+G39-H39</f>
        <v>3118.6514519495558</v>
      </c>
      <c r="D40" s="17">
        <f>C40+(C40*0.04)</f>
        <v>3243.3975100275379</v>
      </c>
      <c r="E40" s="17">
        <f>C40/3250</f>
        <v>0.95958506213832484</v>
      </c>
      <c r="F40" s="28">
        <f>(D40-C40)/E40</f>
        <v>129.99999999999983</v>
      </c>
      <c r="G40" s="18"/>
      <c r="H40" s="18"/>
      <c r="I40" s="19">
        <f>E40*50/C40</f>
        <v>1.5384615384615384E-2</v>
      </c>
    </row>
    <row r="41" spans="1:9" s="1" customFormat="1">
      <c r="A41" s="88"/>
      <c r="B41" s="15">
        <f>B40+7</f>
        <v>43093</v>
      </c>
      <c r="C41" s="20">
        <f>D40+G40-H40</f>
        <v>3243.3975100275379</v>
      </c>
      <c r="D41" s="17">
        <f>C41+(C41*0.04)</f>
        <v>3373.1334104286393</v>
      </c>
      <c r="E41" s="17">
        <f>C41/3250</f>
        <v>0.9979684646238578</v>
      </c>
      <c r="F41" s="28">
        <f>(D41-C41)/E41</f>
        <v>129.99999999999989</v>
      </c>
      <c r="G41" s="18"/>
      <c r="H41" s="18"/>
      <c r="I41" s="19">
        <f>E41*50/C41</f>
        <v>1.5384615384615385E-2</v>
      </c>
    </row>
    <row r="42" spans="1:9" s="1" customFormat="1" ht="13.5" thickBot="1">
      <c r="A42" s="89"/>
      <c r="B42" s="15">
        <f>B41+7</f>
        <v>43100</v>
      </c>
      <c r="C42" s="20">
        <f>D41+G41-H41</f>
        <v>3373.1334104286393</v>
      </c>
      <c r="D42" s="17">
        <f>C42+(C42*0.04)</f>
        <v>3508.0587468457848</v>
      </c>
      <c r="E42" s="17">
        <f>C42/3250</f>
        <v>1.037887203208812</v>
      </c>
      <c r="F42" s="28">
        <f>(D42-C42)/E42</f>
        <v>129.99999999999989</v>
      </c>
      <c r="G42" s="26"/>
      <c r="H42" s="18"/>
      <c r="I42" s="19">
        <f>E42*50/C42</f>
        <v>1.5384615384615382E-2</v>
      </c>
    </row>
    <row r="43" spans="1:9" ht="13.5" thickBot="1">
      <c r="A43" s="79"/>
      <c r="B43" s="13"/>
      <c r="C43" s="22"/>
      <c r="D43" s="23"/>
      <c r="E43" s="23"/>
      <c r="F43" s="27"/>
      <c r="G43" s="30"/>
      <c r="H43" s="10"/>
      <c r="I43" s="24"/>
    </row>
    <row r="44" spans="1:9" s="1" customFormat="1">
      <c r="A44" s="87">
        <v>9</v>
      </c>
      <c r="B44" s="15">
        <f>B42+7</f>
        <v>43107</v>
      </c>
      <c r="C44" s="20">
        <f>D42+G42-H42</f>
        <v>3508.0587468457848</v>
      </c>
      <c r="D44" s="17">
        <f>C44+(C44*0.04)</f>
        <v>3648.3810967196159</v>
      </c>
      <c r="E44" s="17">
        <f>C44/3250</f>
        <v>1.0794026913371646</v>
      </c>
      <c r="F44" s="28">
        <f>(D44-C44)/E44</f>
        <v>129.9999999999998</v>
      </c>
      <c r="G44" s="26"/>
      <c r="H44" s="52"/>
      <c r="I44" s="19">
        <f>E44*50/C44</f>
        <v>1.5384615384615385E-2</v>
      </c>
    </row>
    <row r="45" spans="1:9" s="1" customFormat="1">
      <c r="A45" s="88"/>
      <c r="B45" s="15">
        <f>B44+7</f>
        <v>43114</v>
      </c>
      <c r="C45" s="20">
        <f>D44+G44-H44</f>
        <v>3648.3810967196159</v>
      </c>
      <c r="D45" s="17">
        <f>C45+(C45*0.04)</f>
        <v>3794.3163405884006</v>
      </c>
      <c r="E45" s="17">
        <f>C45/3250</f>
        <v>1.1225787989906511</v>
      </c>
      <c r="F45" s="28">
        <f>(D45-C45)/E45</f>
        <v>130.00000000000006</v>
      </c>
      <c r="G45" s="26"/>
      <c r="H45" s="33"/>
      <c r="I45" s="19">
        <f>E45*50/C45</f>
        <v>1.5384615384615384E-2</v>
      </c>
    </row>
    <row r="46" spans="1:9" s="1" customFormat="1">
      <c r="A46" s="88"/>
      <c r="B46" s="15">
        <f>B45+7</f>
        <v>43121</v>
      </c>
      <c r="C46" s="20">
        <f>D45+G45-H45</f>
        <v>3794.3163405884006</v>
      </c>
      <c r="D46" s="17">
        <f>C46+(C46*0.04)</f>
        <v>3946.0889942119366</v>
      </c>
      <c r="E46" s="17">
        <f>C46/3250</f>
        <v>1.1674819509502772</v>
      </c>
      <c r="F46" s="28">
        <f>(D46-C46)/E46</f>
        <v>129.99999999999989</v>
      </c>
      <c r="G46" s="26"/>
      <c r="H46" s="33"/>
      <c r="I46" s="19">
        <f>E46*50/C46</f>
        <v>1.5384615384615384E-2</v>
      </c>
    </row>
    <row r="47" spans="1:9" s="1" customFormat="1" ht="13.5" thickBot="1">
      <c r="A47" s="89"/>
      <c r="B47" s="15">
        <f>B46+7</f>
        <v>43128</v>
      </c>
      <c r="C47" s="20">
        <f>D46+G46-H46</f>
        <v>3946.0889942119366</v>
      </c>
      <c r="D47" s="17">
        <f>C47+(C47*0.04)</f>
        <v>4103.932553980414</v>
      </c>
      <c r="E47" s="17">
        <f>C47/3250</f>
        <v>1.2141812289882881</v>
      </c>
      <c r="F47" s="28">
        <f>(D47-C47)/E47</f>
        <v>130</v>
      </c>
      <c r="G47" s="26"/>
      <c r="H47" s="33"/>
      <c r="I47" s="19">
        <f>E47*50/C47</f>
        <v>1.5384615384615384E-2</v>
      </c>
    </row>
    <row r="48" spans="1:9" ht="13.5" thickBot="1">
      <c r="A48" s="79"/>
      <c r="B48" s="13"/>
      <c r="C48" s="22"/>
      <c r="D48" s="23"/>
      <c r="E48" s="23"/>
      <c r="F48" s="27"/>
      <c r="G48" s="30"/>
      <c r="H48" s="10"/>
      <c r="I48" s="24"/>
    </row>
    <row r="49" spans="1:9" s="1" customFormat="1">
      <c r="A49" s="87">
        <v>10</v>
      </c>
      <c r="B49" s="15">
        <f>B47+7</f>
        <v>43135</v>
      </c>
      <c r="C49" s="20">
        <f>D47+G47-H47</f>
        <v>4103.932553980414</v>
      </c>
      <c r="D49" s="17">
        <f>C49+(C49*0.04)</f>
        <v>4268.0898561396307</v>
      </c>
      <c r="E49" s="17">
        <f>C49/3250</f>
        <v>1.2627484781478198</v>
      </c>
      <c r="F49" s="28">
        <f>(D49-C49)/E49</f>
        <v>130.00000000000009</v>
      </c>
      <c r="G49" s="26"/>
      <c r="H49" s="33"/>
      <c r="I49" s="19">
        <f>E49*50/C49</f>
        <v>1.5384615384615385E-2</v>
      </c>
    </row>
    <row r="50" spans="1:9" s="1" customFormat="1">
      <c r="A50" s="88"/>
      <c r="B50" s="15">
        <f>B49+7</f>
        <v>43142</v>
      </c>
      <c r="C50" s="20">
        <f>D49+G49-H49</f>
        <v>4268.0898561396307</v>
      </c>
      <c r="D50" s="17">
        <f>C50+(C50*0.04)</f>
        <v>4438.8134503852161</v>
      </c>
      <c r="E50" s="17">
        <f>C50/3250</f>
        <v>1.3132584172737325</v>
      </c>
      <c r="F50" s="28">
        <f>(D50-C50)/E50</f>
        <v>130.00000000000017</v>
      </c>
      <c r="G50" s="26"/>
      <c r="H50" s="33"/>
      <c r="I50" s="19">
        <f>E50*50/C50</f>
        <v>1.5384615384615384E-2</v>
      </c>
    </row>
    <row r="51" spans="1:9" s="1" customFormat="1">
      <c r="A51" s="88"/>
      <c r="B51" s="15">
        <f>B50+7</f>
        <v>43149</v>
      </c>
      <c r="C51" s="20">
        <f>D50+G50-H50</f>
        <v>4438.8134503852161</v>
      </c>
      <c r="D51" s="17">
        <f>C51+(C51*0.04)</f>
        <v>4616.3659884006247</v>
      </c>
      <c r="E51" s="17">
        <f>C51/3250</f>
        <v>1.3657887539646818</v>
      </c>
      <c r="F51" s="28">
        <f>(D51-C51)/E51</f>
        <v>129.99999999999994</v>
      </c>
      <c r="G51" s="26"/>
      <c r="H51" s="33"/>
      <c r="I51" s="19">
        <f>E51*50/C51</f>
        <v>1.5384615384615385E-2</v>
      </c>
    </row>
    <row r="52" spans="1:9" s="1" customFormat="1" ht="13.5" thickBot="1">
      <c r="A52" s="89"/>
      <c r="B52" s="15">
        <f>B51+7</f>
        <v>43156</v>
      </c>
      <c r="C52" s="20">
        <f>D51+G51-H51</f>
        <v>4616.3659884006247</v>
      </c>
      <c r="D52" s="17">
        <f>C52+(C52*0.04)</f>
        <v>4801.0206279366494</v>
      </c>
      <c r="E52" s="17">
        <f>C52/3250</f>
        <v>1.420420304123269</v>
      </c>
      <c r="F52" s="28">
        <f>(D52-C52)/E52</f>
        <v>129.99999999999977</v>
      </c>
      <c r="G52" s="26"/>
      <c r="H52" s="33"/>
      <c r="I52" s="19">
        <f>E52*50/C52</f>
        <v>1.5384615384615384E-2</v>
      </c>
    </row>
    <row r="53" spans="1:9" ht="13.5" thickBot="1">
      <c r="A53" s="79"/>
      <c r="B53" s="13"/>
      <c r="C53" s="22"/>
      <c r="D53" s="23"/>
      <c r="E53" s="23"/>
      <c r="F53" s="27"/>
      <c r="G53" s="30"/>
      <c r="H53" s="10"/>
      <c r="I53" s="24"/>
    </row>
    <row r="54" spans="1:9" s="1" customFormat="1">
      <c r="A54" s="87">
        <v>11</v>
      </c>
      <c r="B54" s="15">
        <f>B52+7</f>
        <v>43163</v>
      </c>
      <c r="C54" s="20">
        <f>D52+G52-H52</f>
        <v>4801.0206279366494</v>
      </c>
      <c r="D54" s="17">
        <f>C54+(C54*0.04)</f>
        <v>4993.0614530541152</v>
      </c>
      <c r="E54" s="17">
        <f>C54/3250</f>
        <v>1.4772371162881999</v>
      </c>
      <c r="F54" s="28">
        <f>(D54-C54)/E54</f>
        <v>129.99999999999989</v>
      </c>
      <c r="G54" s="26"/>
      <c r="H54" s="33"/>
      <c r="I54" s="19">
        <f>E54*50/C54</f>
        <v>1.5384615384615385E-2</v>
      </c>
    </row>
    <row r="55" spans="1:9" s="1" customFormat="1">
      <c r="A55" s="88"/>
      <c r="B55" s="15">
        <f>B54+7</f>
        <v>43170</v>
      </c>
      <c r="C55" s="20">
        <f>D54+G54-H54</f>
        <v>4993.0614530541152</v>
      </c>
      <c r="D55" s="17">
        <f>C55+(C55*0.04)</f>
        <v>5192.7839111762796</v>
      </c>
      <c r="E55" s="17">
        <f>C55/3250</f>
        <v>1.5363266009397278</v>
      </c>
      <c r="F55" s="28">
        <f>(D55-C55)/E55</f>
        <v>129.99999999999989</v>
      </c>
      <c r="G55" s="26"/>
      <c r="H55" s="33"/>
      <c r="I55" s="19">
        <f>E55*50/C55</f>
        <v>1.5384615384615385E-2</v>
      </c>
    </row>
    <row r="56" spans="1:9" s="1" customFormat="1">
      <c r="A56" s="88"/>
      <c r="B56" s="15">
        <f>B55+7</f>
        <v>43177</v>
      </c>
      <c r="C56" s="20">
        <f>D55+G55-H55</f>
        <v>5192.7839111762796</v>
      </c>
      <c r="D56" s="17">
        <f>C56+(C56*0.04)</f>
        <v>5400.4952676233306</v>
      </c>
      <c r="E56" s="17">
        <f>C56/3250</f>
        <v>1.5977796649773168</v>
      </c>
      <c r="F56" s="28">
        <f>(D56-C56)/E56</f>
        <v>129.99999999999989</v>
      </c>
      <c r="G56" s="26"/>
      <c r="H56" s="33"/>
      <c r="I56" s="19">
        <f>E56*50/C56</f>
        <v>1.5384615384615385E-2</v>
      </c>
    </row>
    <row r="57" spans="1:9" s="1" customFormat="1" ht="13.5" thickBot="1">
      <c r="A57" s="89"/>
      <c r="B57" s="15">
        <f>B56+7</f>
        <v>43184</v>
      </c>
      <c r="C57" s="20">
        <f>D56+G56-H56</f>
        <v>5400.4952676233306</v>
      </c>
      <c r="D57" s="17">
        <f>C57+(C57*0.04)</f>
        <v>5616.5150783282643</v>
      </c>
      <c r="E57" s="17">
        <f>C57/3250</f>
        <v>1.6616908515764095</v>
      </c>
      <c r="F57" s="28">
        <f>(D57-C57)/E57</f>
        <v>130.00000000000026</v>
      </c>
      <c r="G57" s="26"/>
      <c r="H57" s="33"/>
      <c r="I57" s="19">
        <f>E57*50/C57</f>
        <v>1.5384615384615385E-2</v>
      </c>
    </row>
    <row r="58" spans="1:9" ht="13.5" thickBot="1">
      <c r="A58" s="79"/>
      <c r="B58" s="13"/>
      <c r="C58" s="22"/>
      <c r="D58" s="23"/>
      <c r="E58" s="23"/>
      <c r="F58" s="27"/>
      <c r="G58" s="30"/>
      <c r="H58" s="10"/>
      <c r="I58" s="24"/>
    </row>
    <row r="59" spans="1:9" s="1" customFormat="1">
      <c r="A59" s="87">
        <v>12</v>
      </c>
      <c r="B59" s="15">
        <f>B57+7</f>
        <v>43191</v>
      </c>
      <c r="C59" s="20">
        <f>D57+G57-H57</f>
        <v>5616.5150783282643</v>
      </c>
      <c r="D59" s="17">
        <f>C59+(C59*0.04)</f>
        <v>5841.1756814613946</v>
      </c>
      <c r="E59" s="17">
        <f>C59/3250</f>
        <v>1.7281584856394658</v>
      </c>
      <c r="F59" s="28">
        <f>(D59-C59)/E59</f>
        <v>129.99999999999983</v>
      </c>
      <c r="G59" s="26"/>
      <c r="H59" s="33"/>
      <c r="I59" s="19">
        <f>E59*50/C59</f>
        <v>1.5384615384615384E-2</v>
      </c>
    </row>
    <row r="60" spans="1:9" s="1" customFormat="1">
      <c r="A60" s="88"/>
      <c r="B60" s="15">
        <f>B59+7</f>
        <v>43198</v>
      </c>
      <c r="C60" s="20">
        <f>D59+G59-H59</f>
        <v>5841.1756814613946</v>
      </c>
      <c r="D60" s="17">
        <f>C60+(C60*0.04)</f>
        <v>6074.8227087198502</v>
      </c>
      <c r="E60" s="17">
        <f>C60/3250</f>
        <v>1.7972848250650444</v>
      </c>
      <c r="F60" s="28">
        <f>(D60-C60)/E60</f>
        <v>129.99999999999991</v>
      </c>
      <c r="G60" s="26"/>
      <c r="H60" s="33"/>
      <c r="I60" s="19">
        <f>E60*50/C60</f>
        <v>1.5384615384615384E-2</v>
      </c>
    </row>
    <row r="61" spans="1:9" s="1" customFormat="1">
      <c r="A61" s="88"/>
      <c r="B61" s="15">
        <f>B60+7</f>
        <v>43205</v>
      </c>
      <c r="C61" s="20">
        <f>D60+G60-H60</f>
        <v>6074.8227087198502</v>
      </c>
      <c r="D61" s="17">
        <f>C61+(C61*0.04)</f>
        <v>6317.8156170686443</v>
      </c>
      <c r="E61" s="17">
        <f>C61/3250</f>
        <v>1.8691762180676461</v>
      </c>
      <c r="F61" s="28">
        <f>(D61-C61)/E61</f>
        <v>130.00000000000006</v>
      </c>
      <c r="G61" s="26"/>
      <c r="H61" s="33"/>
      <c r="I61" s="19">
        <f>E61*50/C61</f>
        <v>1.5384615384615384E-2</v>
      </c>
    </row>
    <row r="62" spans="1:9" s="1" customFormat="1" ht="13.5" thickBot="1">
      <c r="A62" s="89"/>
      <c r="B62" s="15">
        <f>B61+7</f>
        <v>43212</v>
      </c>
      <c r="C62" s="20">
        <f>D61+G61-H61</f>
        <v>6317.8156170686443</v>
      </c>
      <c r="D62" s="17">
        <f>C62+(C62*0.04)</f>
        <v>6570.5282417513899</v>
      </c>
      <c r="E62" s="17">
        <f>C62/3250</f>
        <v>1.943943266790352</v>
      </c>
      <c r="F62" s="28">
        <f>(D62-C62)/E62</f>
        <v>129.99999999999994</v>
      </c>
      <c r="G62" s="26"/>
      <c r="H62" s="33"/>
      <c r="I62" s="19">
        <f>E62*50/C62</f>
        <v>1.5384615384615384E-2</v>
      </c>
    </row>
    <row r="63" spans="1:9" ht="13.5" thickBot="1">
      <c r="A63" s="79"/>
      <c r="B63" s="13"/>
      <c r="C63" s="22"/>
      <c r="D63" s="23"/>
      <c r="E63" s="23"/>
      <c r="F63" s="27"/>
      <c r="G63" s="30"/>
      <c r="H63" s="10"/>
      <c r="I63" s="24"/>
    </row>
    <row r="64" spans="1:9" s="1" customFormat="1">
      <c r="A64" s="87">
        <v>13</v>
      </c>
      <c r="B64" s="15">
        <f>B62+7</f>
        <v>43219</v>
      </c>
      <c r="C64" s="20">
        <f>D62+G62-H62</f>
        <v>6570.5282417513899</v>
      </c>
      <c r="D64" s="17">
        <f>C64+(C64*0.04)</f>
        <v>6833.3493714214455</v>
      </c>
      <c r="E64" s="17">
        <f>C64/3250</f>
        <v>2.021700997461966</v>
      </c>
      <c r="F64" s="28">
        <f>(D64-C64)/E64</f>
        <v>130</v>
      </c>
      <c r="G64" s="26"/>
      <c r="H64" s="33"/>
      <c r="I64" s="19">
        <f>E64*50/C64</f>
        <v>1.5384615384615384E-2</v>
      </c>
    </row>
    <row r="65" spans="1:9" s="1" customFormat="1">
      <c r="A65" s="88"/>
      <c r="B65" s="15">
        <f>B64+7</f>
        <v>43226</v>
      </c>
      <c r="C65" s="20">
        <f>D64+G64-H64</f>
        <v>6833.3493714214455</v>
      </c>
      <c r="D65" s="17">
        <f>C65+(C65*0.04)</f>
        <v>7106.6833462783034</v>
      </c>
      <c r="E65" s="17">
        <f>C65/3250</f>
        <v>2.1025690373604449</v>
      </c>
      <c r="F65" s="28">
        <f>(D65-C65)/E65</f>
        <v>130</v>
      </c>
      <c r="G65" s="26"/>
      <c r="H65" s="33"/>
      <c r="I65" s="19">
        <f>E65*50/C65</f>
        <v>1.5384615384615385E-2</v>
      </c>
    </row>
    <row r="66" spans="1:9" s="1" customFormat="1">
      <c r="A66" s="88"/>
      <c r="B66" s="15">
        <f>B65+7</f>
        <v>43233</v>
      </c>
      <c r="C66" s="20">
        <f>D65+G65-H65</f>
        <v>7106.6833462783034</v>
      </c>
      <c r="D66" s="17">
        <f>C66+(C66*0.04)</f>
        <v>7390.9506801294356</v>
      </c>
      <c r="E66" s="17">
        <f>C66/3250</f>
        <v>2.1866717988548627</v>
      </c>
      <c r="F66" s="28">
        <f>(D66-C66)/E66</f>
        <v>130.00000000000003</v>
      </c>
      <c r="G66" s="26"/>
      <c r="H66" s="33"/>
      <c r="I66" s="19">
        <f>E66*50/C66</f>
        <v>1.5384615384615385E-2</v>
      </c>
    </row>
    <row r="67" spans="1:9" s="1" customFormat="1" ht="13.5" thickBot="1">
      <c r="A67" s="89"/>
      <c r="B67" s="15">
        <f>B66+7</f>
        <v>43240</v>
      </c>
      <c r="C67" s="20">
        <f>D66+G66-H66</f>
        <v>7390.9506801294356</v>
      </c>
      <c r="D67" s="17">
        <f>C67+(C67*0.04)</f>
        <v>7686.588707334613</v>
      </c>
      <c r="E67" s="17">
        <f>C67/3250</f>
        <v>2.274138670809057</v>
      </c>
      <c r="F67" s="28">
        <f>(D67-C67)/E67</f>
        <v>130</v>
      </c>
      <c r="G67" s="26"/>
      <c r="H67" s="33"/>
      <c r="I67" s="19">
        <f>E67*50/C67</f>
        <v>1.5384615384615384E-2</v>
      </c>
    </row>
    <row r="68" spans="1:9" ht="13.5" thickBot="1">
      <c r="A68" s="79"/>
      <c r="B68" s="13"/>
      <c r="C68" s="22"/>
      <c r="D68" s="23"/>
      <c r="E68" s="23"/>
      <c r="F68" s="27"/>
      <c r="G68" s="30"/>
      <c r="H68" s="10"/>
      <c r="I68" s="24"/>
    </row>
    <row r="69" spans="1:9" s="1" customFormat="1">
      <c r="A69" s="87">
        <v>14</v>
      </c>
      <c r="B69" s="15">
        <f>B67+7</f>
        <v>43247</v>
      </c>
      <c r="C69" s="20">
        <f>D67+G67-H67</f>
        <v>7686.588707334613</v>
      </c>
      <c r="D69" s="17">
        <f>C69+(C69*0.04)</f>
        <v>7994.0522556279975</v>
      </c>
      <c r="E69" s="17">
        <f>C69/3250</f>
        <v>2.3651042176414192</v>
      </c>
      <c r="F69" s="28">
        <f>(D69-C69)/E69</f>
        <v>130</v>
      </c>
      <c r="G69" s="26"/>
      <c r="H69" s="33"/>
      <c r="I69" s="19">
        <f>E69*50/C69</f>
        <v>1.5384615384615382E-2</v>
      </c>
    </row>
    <row r="70" spans="1:9" s="1" customFormat="1">
      <c r="A70" s="88"/>
      <c r="B70" s="15">
        <f>B69+7</f>
        <v>43254</v>
      </c>
      <c r="C70" s="20">
        <f>D69+G69-H69</f>
        <v>7994.0522556279975</v>
      </c>
      <c r="D70" s="17">
        <f>C70+(C70*0.04)</f>
        <v>8313.8143458531176</v>
      </c>
      <c r="E70" s="17">
        <f>C70/3250</f>
        <v>2.4597083863470761</v>
      </c>
      <c r="F70" s="28">
        <f>(D70-C70)/E70</f>
        <v>130.00000000000009</v>
      </c>
      <c r="G70" s="26"/>
      <c r="H70" s="64"/>
      <c r="I70" s="19">
        <f>E70*50/C70</f>
        <v>1.5384615384615384E-2</v>
      </c>
    </row>
    <row r="71" spans="1:9" s="1" customFormat="1">
      <c r="A71" s="88"/>
      <c r="B71" s="15">
        <f>B70+7</f>
        <v>43261</v>
      </c>
      <c r="C71" s="20">
        <f>D70+G70-H70</f>
        <v>8313.8143458531176</v>
      </c>
      <c r="D71" s="17">
        <f>C71+(C71*0.04)</f>
        <v>8646.3669196872415</v>
      </c>
      <c r="E71" s="17">
        <f>C71/3250</f>
        <v>2.5580967218009594</v>
      </c>
      <c r="F71" s="28">
        <f>(D71-C71)/E71</f>
        <v>129.99999999999969</v>
      </c>
      <c r="G71" s="26"/>
      <c r="H71" s="33"/>
      <c r="I71" s="19">
        <f>E71*50/C71</f>
        <v>1.5384615384615385E-2</v>
      </c>
    </row>
    <row r="72" spans="1:9" s="1" customFormat="1" ht="13.5" thickBot="1">
      <c r="A72" s="89"/>
      <c r="B72" s="15">
        <f>B71+7</f>
        <v>43268</v>
      </c>
      <c r="C72" s="20">
        <f>D71+G71-H71</f>
        <v>8646.3669196872415</v>
      </c>
      <c r="D72" s="17">
        <f>C72+(C72*0.04)</f>
        <v>8992.221596474732</v>
      </c>
      <c r="E72" s="17">
        <f>C72/3250</f>
        <v>2.6604205906729974</v>
      </c>
      <c r="F72" s="28">
        <f>(D72-C72)/E72</f>
        <v>130.00000000000031</v>
      </c>
      <c r="G72" s="26"/>
      <c r="H72" s="33"/>
      <c r="I72" s="19">
        <f>E72*50/C72</f>
        <v>1.5384615384615385E-2</v>
      </c>
    </row>
    <row r="73" spans="1:9" ht="13.5" thickBot="1">
      <c r="A73" s="79"/>
      <c r="B73" s="13"/>
      <c r="C73" s="22"/>
      <c r="D73" s="23"/>
      <c r="E73" s="23"/>
      <c r="F73" s="27"/>
      <c r="G73" s="30"/>
      <c r="H73" s="10"/>
      <c r="I73" s="24"/>
    </row>
    <row r="74" spans="1:9" s="1" customFormat="1">
      <c r="A74" s="87">
        <v>15</v>
      </c>
      <c r="B74" s="15">
        <f>B72+7</f>
        <v>43275</v>
      </c>
      <c r="C74" s="20">
        <f>D72+G72-H72</f>
        <v>8992.221596474732</v>
      </c>
      <c r="D74" s="17">
        <f>C74+(C74*0.04)</f>
        <v>9351.9104603337219</v>
      </c>
      <c r="E74" s="17">
        <f>C74/3250</f>
        <v>2.7668374142999177</v>
      </c>
      <c r="F74" s="28">
        <f>(D74-C74)/E74</f>
        <v>130.0000000000002</v>
      </c>
      <c r="G74" s="26"/>
      <c r="H74" s="33"/>
      <c r="I74" s="19">
        <f>E74*50/C74</f>
        <v>1.5384615384615385E-2</v>
      </c>
    </row>
    <row r="75" spans="1:9" s="1" customFormat="1">
      <c r="A75" s="88"/>
      <c r="B75" s="15">
        <f>B74+7</f>
        <v>43282</v>
      </c>
      <c r="C75" s="20">
        <f>D74+G74-H74</f>
        <v>9351.9104603337219</v>
      </c>
      <c r="D75" s="17">
        <f>C75+(C75*0.04)</f>
        <v>9725.9868787470714</v>
      </c>
      <c r="E75" s="17">
        <f>C75/3250</f>
        <v>2.8775109108719144</v>
      </c>
      <c r="F75" s="28">
        <f>(D75-C75)/E75</f>
        <v>130.00000000000023</v>
      </c>
      <c r="G75" s="26"/>
      <c r="H75" s="33"/>
      <c r="I75" s="19">
        <f>E75*50/C75</f>
        <v>1.5384615384615384E-2</v>
      </c>
    </row>
    <row r="76" spans="1:9" s="1" customFormat="1">
      <c r="A76" s="88"/>
      <c r="B76" s="15">
        <f>B75+7</f>
        <v>43289</v>
      </c>
      <c r="C76" s="20">
        <f>D75+G75-H75</f>
        <v>9725.9868787470714</v>
      </c>
      <c r="D76" s="17">
        <f>C76+(C76*0.04)</f>
        <v>10115.026353896954</v>
      </c>
      <c r="E76" s="17">
        <f>C76/3250</f>
        <v>2.992611347306791</v>
      </c>
      <c r="F76" s="28">
        <f>(D76-C76)/E76</f>
        <v>129.99999999999989</v>
      </c>
      <c r="G76" s="26"/>
      <c r="H76" s="33"/>
      <c r="I76" s="19">
        <f>E76*50/C76</f>
        <v>1.5384615384615384E-2</v>
      </c>
    </row>
    <row r="77" spans="1:9" s="1" customFormat="1" ht="13.5" thickBot="1">
      <c r="A77" s="89"/>
      <c r="B77" s="15">
        <f>B76+7</f>
        <v>43296</v>
      </c>
      <c r="C77" s="20">
        <f>D76+G76-H76</f>
        <v>10115.026353896954</v>
      </c>
      <c r="D77" s="17">
        <f>C77+(C77*0.04)</f>
        <v>10519.627408052833</v>
      </c>
      <c r="E77" s="17">
        <f>C77/3250</f>
        <v>3.1123158011990628</v>
      </c>
      <c r="F77" s="28">
        <f>(D77-C77)/E77</f>
        <v>130.00000000000026</v>
      </c>
      <c r="G77" s="26"/>
      <c r="H77" s="33"/>
      <c r="I77" s="19">
        <f>E77*50/C77</f>
        <v>1.5384615384615384E-2</v>
      </c>
    </row>
    <row r="78" spans="1:9" ht="13.5" thickBot="1">
      <c r="A78" s="79"/>
      <c r="B78" s="13"/>
      <c r="C78" s="22"/>
      <c r="D78" s="23"/>
      <c r="E78" s="23"/>
      <c r="F78" s="27"/>
      <c r="G78" s="30"/>
      <c r="H78" s="10"/>
      <c r="I78" s="24"/>
    </row>
    <row r="79" spans="1:9" s="1" customFormat="1">
      <c r="A79" s="87">
        <v>16</v>
      </c>
      <c r="B79" s="15">
        <f>B77+7</f>
        <v>43303</v>
      </c>
      <c r="C79" s="20">
        <f>D77+G77-H77</f>
        <v>10519.627408052833</v>
      </c>
      <c r="D79" s="17">
        <f>C79+(C79*0.04)</f>
        <v>10940.412504374946</v>
      </c>
      <c r="E79" s="17">
        <f>C79/3250</f>
        <v>3.2368084332470253</v>
      </c>
      <c r="F79" s="28">
        <f>(D79-C79)/E79</f>
        <v>130.00000000000009</v>
      </c>
      <c r="G79" s="26"/>
      <c r="H79" s="33"/>
      <c r="I79" s="19">
        <f>E79*50/C79</f>
        <v>1.5384615384615385E-2</v>
      </c>
    </row>
    <row r="80" spans="1:9" s="1" customFormat="1">
      <c r="A80" s="88"/>
      <c r="B80" s="15">
        <f>B79+7</f>
        <v>43310</v>
      </c>
      <c r="C80" s="20">
        <f>D79+G79-H79</f>
        <v>10940.412504374946</v>
      </c>
      <c r="D80" s="17">
        <f>C80+(C80*0.04)</f>
        <v>11378.029004549944</v>
      </c>
      <c r="E80" s="17">
        <f>C80/3250</f>
        <v>3.3662807705769064</v>
      </c>
      <c r="F80" s="28">
        <f>(D80-C80)/E80</f>
        <v>129.99999999999997</v>
      </c>
      <c r="G80" s="26"/>
      <c r="H80" s="64"/>
      <c r="I80" s="19">
        <f>E80*50/C80</f>
        <v>1.5384615384615384E-2</v>
      </c>
    </row>
    <row r="81" spans="1:9" s="1" customFormat="1">
      <c r="A81" s="88"/>
      <c r="B81" s="15">
        <f>B80+7</f>
        <v>43317</v>
      </c>
      <c r="C81" s="20">
        <f>D80+G80-H80</f>
        <v>11378.029004549944</v>
      </c>
      <c r="D81" s="17">
        <f>C81+(C81*0.04)</f>
        <v>11833.150164731942</v>
      </c>
      <c r="E81" s="17">
        <f>C81/3250</f>
        <v>3.500932001399983</v>
      </c>
      <c r="F81" s="28">
        <f>(D81-C81)/E81</f>
        <v>130</v>
      </c>
      <c r="G81" s="26"/>
      <c r="H81" s="33"/>
      <c r="I81" s="19">
        <f>E81*50/C81</f>
        <v>1.5384615384615385E-2</v>
      </c>
    </row>
    <row r="82" spans="1:9" s="1" customFormat="1" ht="13.5" thickBot="1">
      <c r="A82" s="89"/>
      <c r="B82" s="15">
        <f>B81+7</f>
        <v>43324</v>
      </c>
      <c r="C82" s="20">
        <f>D81+G81-H81</f>
        <v>11833.150164731942</v>
      </c>
      <c r="D82" s="17">
        <f>C82+(C82*0.04)</f>
        <v>12306.476171321219</v>
      </c>
      <c r="E82" s="17">
        <f>C82/3250</f>
        <v>3.6409692814559822</v>
      </c>
      <c r="F82" s="28">
        <f>(D82-C82)/E82</f>
        <v>129.99999999999989</v>
      </c>
      <c r="G82" s="26"/>
      <c r="H82" s="33"/>
      <c r="I82" s="19">
        <f>E82*50/C82</f>
        <v>1.5384615384615385E-2</v>
      </c>
    </row>
    <row r="83" spans="1:9" ht="13.5" thickBot="1">
      <c r="A83" s="79"/>
      <c r="B83" s="13"/>
      <c r="C83" s="22"/>
      <c r="D83" s="23"/>
      <c r="E83" s="23"/>
      <c r="F83" s="27"/>
      <c r="G83" s="30"/>
      <c r="H83" s="10"/>
      <c r="I83" s="24"/>
    </row>
    <row r="84" spans="1:9" s="1" customFormat="1">
      <c r="A84" s="87">
        <v>17</v>
      </c>
      <c r="B84" s="15">
        <f>B82+7</f>
        <v>43331</v>
      </c>
      <c r="C84" s="20">
        <f>D82+G82-H82</f>
        <v>12306.476171321219</v>
      </c>
      <c r="D84" s="17">
        <f>C84+(C84*0.04)</f>
        <v>12798.735218174068</v>
      </c>
      <c r="E84" s="17">
        <f>C84/3250</f>
        <v>3.7866080527142212</v>
      </c>
      <c r="F84" s="28">
        <f>(D84-C84)/E84</f>
        <v>130</v>
      </c>
      <c r="G84" s="26"/>
      <c r="H84" s="33"/>
      <c r="I84" s="19">
        <f>E84*50/C84</f>
        <v>1.5384615384615385E-2</v>
      </c>
    </row>
    <row r="85" spans="1:9" s="1" customFormat="1">
      <c r="A85" s="88"/>
      <c r="B85" s="15">
        <f>B84+7</f>
        <v>43338</v>
      </c>
      <c r="C85" s="20">
        <f>D84+G84-H84</f>
        <v>12798.735218174068</v>
      </c>
      <c r="D85" s="17">
        <f>C85+(C85*0.04)</f>
        <v>13310.684626901031</v>
      </c>
      <c r="E85" s="17">
        <f>C85/3250</f>
        <v>3.9380723748227902</v>
      </c>
      <c r="F85" s="28">
        <f>(D85-C85)/E85</f>
        <v>130.00000000000011</v>
      </c>
      <c r="G85" s="26"/>
      <c r="H85" s="33"/>
      <c r="I85" s="19">
        <f>E85*50/C85</f>
        <v>1.5384615384615384E-2</v>
      </c>
    </row>
    <row r="86" spans="1:9" s="1" customFormat="1">
      <c r="A86" s="88"/>
      <c r="B86" s="15">
        <f>B85+7</f>
        <v>43345</v>
      </c>
      <c r="C86" s="20">
        <f>D85+G85-H85</f>
        <v>13310.684626901031</v>
      </c>
      <c r="D86" s="17">
        <f>C86+(C86*0.04)</f>
        <v>13843.112011977073</v>
      </c>
      <c r="E86" s="17">
        <f>C86/3250</f>
        <v>4.0955952698157017</v>
      </c>
      <c r="F86" s="28">
        <f>(D86-C86)/E86</f>
        <v>130.00000000000017</v>
      </c>
      <c r="G86" s="26"/>
      <c r="H86" s="33"/>
      <c r="I86" s="19">
        <f>E86*50/C86</f>
        <v>1.5384615384615384E-2</v>
      </c>
    </row>
    <row r="87" spans="1:9" s="1" customFormat="1" ht="13.5" thickBot="1">
      <c r="A87" s="89"/>
      <c r="B87" s="15">
        <f>B86+7</f>
        <v>43352</v>
      </c>
      <c r="C87" s="20">
        <f>D86+G86-H86</f>
        <v>13843.112011977073</v>
      </c>
      <c r="D87" s="17">
        <f>C87+(C87*0.04)</f>
        <v>14396.836492456156</v>
      </c>
      <c r="E87" s="17">
        <f>C87/3250</f>
        <v>4.2594190806083301</v>
      </c>
      <c r="F87" s="28">
        <f>(D87-C87)/E87</f>
        <v>129.99999999999991</v>
      </c>
      <c r="G87" s="26"/>
      <c r="H87" s="33"/>
      <c r="I87" s="19">
        <f>E87*50/C87</f>
        <v>1.5384615384615384E-2</v>
      </c>
    </row>
    <row r="88" spans="1:9" ht="13.5" thickBot="1">
      <c r="A88" s="79"/>
      <c r="B88" s="13"/>
      <c r="C88" s="22"/>
      <c r="D88" s="23"/>
      <c r="E88" s="23"/>
      <c r="F88" s="27"/>
      <c r="G88" s="30"/>
      <c r="H88" s="10"/>
      <c r="I88" s="24"/>
    </row>
    <row r="89" spans="1:9" s="1" customFormat="1">
      <c r="A89" s="87">
        <v>18</v>
      </c>
      <c r="B89" s="15">
        <f>B87+7</f>
        <v>43359</v>
      </c>
      <c r="C89" s="20">
        <f>D87+G87-H87</f>
        <v>14396.836492456156</v>
      </c>
      <c r="D89" s="17">
        <f>C89+(C89*0.04)</f>
        <v>14972.709952154402</v>
      </c>
      <c r="E89" s="17">
        <f>C89/3250</f>
        <v>4.4297958438326637</v>
      </c>
      <c r="F89" s="28">
        <f>(D89-C89)/E89</f>
        <v>130.00000000000011</v>
      </c>
      <c r="G89" s="26"/>
      <c r="H89" s="33"/>
      <c r="I89" s="19">
        <f>E89*50/C89</f>
        <v>1.5384615384615385E-2</v>
      </c>
    </row>
    <row r="90" spans="1:9" s="1" customFormat="1">
      <c r="A90" s="88"/>
      <c r="B90" s="15">
        <f>B89+7</f>
        <v>43366</v>
      </c>
      <c r="C90" s="20">
        <f>D89+G89-H89</f>
        <v>14972.709952154402</v>
      </c>
      <c r="D90" s="17">
        <f>C90+(C90*0.04)</f>
        <v>15571.618350240578</v>
      </c>
      <c r="E90" s="17">
        <f>C90/3250</f>
        <v>4.6069876775859697</v>
      </c>
      <c r="F90" s="28">
        <f>(D90-C90)/E90</f>
        <v>130</v>
      </c>
      <c r="G90" s="26"/>
      <c r="H90" s="33"/>
      <c r="I90" s="19">
        <f>E90*50/C90</f>
        <v>1.5384615384615385E-2</v>
      </c>
    </row>
    <row r="91" spans="1:9" s="1" customFormat="1">
      <c r="A91" s="88"/>
      <c r="B91" s="15">
        <f>B90+7</f>
        <v>43373</v>
      </c>
      <c r="C91" s="20">
        <f>D90+G90-H90</f>
        <v>15571.618350240578</v>
      </c>
      <c r="D91" s="17">
        <f>C91+(C91*0.04)</f>
        <v>16194.483084250202</v>
      </c>
      <c r="E91" s="17">
        <f>C91/3250</f>
        <v>4.791267184689409</v>
      </c>
      <c r="F91" s="28">
        <f>(D91-C91)/E91</f>
        <v>130</v>
      </c>
      <c r="G91" s="26"/>
      <c r="H91" s="33"/>
      <c r="I91" s="19">
        <f>E91*50/C91</f>
        <v>1.5384615384615385E-2</v>
      </c>
    </row>
    <row r="92" spans="1:9" s="1" customFormat="1" ht="13.5" thickBot="1">
      <c r="A92" s="89"/>
      <c r="B92" s="15">
        <f>B91+7</f>
        <v>43380</v>
      </c>
      <c r="C92" s="20">
        <f>D91+G91-H91</f>
        <v>16194.483084250202</v>
      </c>
      <c r="D92" s="17">
        <f>C92+(C92*0.04)</f>
        <v>16842.262407620208</v>
      </c>
      <c r="E92" s="17">
        <f>C92/3250</f>
        <v>4.9829178720769853</v>
      </c>
      <c r="F92" s="28">
        <f>(D92-C92)/E92</f>
        <v>129.99999999999974</v>
      </c>
      <c r="G92" s="26"/>
      <c r="H92" s="33"/>
      <c r="I92" s="19">
        <f>E92*50/C92</f>
        <v>1.5384615384615385E-2</v>
      </c>
    </row>
    <row r="93" spans="1:9" ht="13.5" thickBot="1">
      <c r="A93" s="79"/>
      <c r="B93" s="13"/>
      <c r="C93" s="22"/>
      <c r="D93" s="23"/>
      <c r="E93" s="23"/>
      <c r="F93" s="27"/>
      <c r="G93" s="30"/>
      <c r="H93" s="10"/>
      <c r="I93" s="24"/>
    </row>
    <row r="94" spans="1:9" s="1" customFormat="1">
      <c r="A94" s="87">
        <v>19</v>
      </c>
      <c r="B94" s="15">
        <f>B92+7</f>
        <v>43387</v>
      </c>
      <c r="C94" s="20">
        <f>D92+G92-H92</f>
        <v>16842.262407620208</v>
      </c>
      <c r="D94" s="17">
        <f>C94+(C94*0.04)</f>
        <v>17515.952903925016</v>
      </c>
      <c r="E94" s="17">
        <f>C94/3250</f>
        <v>5.1822345869600639</v>
      </c>
      <c r="F94" s="28">
        <f>(D94-C94)/E94</f>
        <v>129.9999999999998</v>
      </c>
      <c r="G94" s="26"/>
      <c r="H94" s="33"/>
      <c r="I94" s="19">
        <f>E94*50/C94</f>
        <v>1.5384615384615385E-2</v>
      </c>
    </row>
    <row r="95" spans="1:9" s="1" customFormat="1">
      <c r="A95" s="88"/>
      <c r="B95" s="15">
        <f>B94+7</f>
        <v>43394</v>
      </c>
      <c r="C95" s="20">
        <f>D94+G94-H94</f>
        <v>17515.952903925016</v>
      </c>
      <c r="D95" s="17">
        <f>C95+(C95*0.04)</f>
        <v>18216.591020082014</v>
      </c>
      <c r="E95" s="17">
        <f>C95/3250</f>
        <v>5.3895239704384661</v>
      </c>
      <c r="F95" s="28">
        <f>(D95-C95)/E95</f>
        <v>129.99999999999969</v>
      </c>
      <c r="G95" s="26"/>
      <c r="H95" s="33"/>
      <c r="I95" s="19">
        <f>E95*50/C95</f>
        <v>1.5384615384615385E-2</v>
      </c>
    </row>
    <row r="96" spans="1:9" s="1" customFormat="1">
      <c r="A96" s="88"/>
      <c r="B96" s="15">
        <f>B95+7</f>
        <v>43401</v>
      </c>
      <c r="C96" s="20">
        <f>D95+G95-H95</f>
        <v>18216.591020082014</v>
      </c>
      <c r="D96" s="17">
        <f>C96+(C96*0.04)</f>
        <v>18945.254660885294</v>
      </c>
      <c r="E96" s="17">
        <f>C96/3250</f>
        <v>5.6051049292560045</v>
      </c>
      <c r="F96" s="28">
        <f>(D96-C96)/E96</f>
        <v>129.99999999999974</v>
      </c>
      <c r="G96" s="26"/>
      <c r="H96" s="33"/>
      <c r="I96" s="19">
        <f>E96*50/C96</f>
        <v>1.5384615384615385E-2</v>
      </c>
    </row>
    <row r="97" spans="1:9" s="1" customFormat="1" ht="13.5" thickBot="1">
      <c r="A97" s="89"/>
      <c r="B97" s="15">
        <f>B96+7</f>
        <v>43408</v>
      </c>
      <c r="C97" s="20">
        <f>D96+G96-H96</f>
        <v>18945.254660885294</v>
      </c>
      <c r="D97" s="17">
        <f>C97+(C97*0.04)</f>
        <v>19703.064847320704</v>
      </c>
      <c r="E97" s="17">
        <f>C97/3250</f>
        <v>5.829309126426244</v>
      </c>
      <c r="F97" s="28">
        <f>(D97-C97)/E97</f>
        <v>129.99999999999974</v>
      </c>
      <c r="G97" s="26"/>
      <c r="H97" s="33"/>
      <c r="I97" s="19">
        <f>E97*50/C97</f>
        <v>1.5384615384615385E-2</v>
      </c>
    </row>
    <row r="98" spans="1:9" ht="13.5" thickBot="1">
      <c r="A98" s="79"/>
      <c r="B98" s="13"/>
      <c r="C98" s="22"/>
      <c r="D98" s="23"/>
      <c r="E98" s="23"/>
      <c r="F98" s="27"/>
      <c r="G98" s="30"/>
      <c r="H98" s="10"/>
      <c r="I98" s="24"/>
    </row>
    <row r="99" spans="1:9" s="1" customFormat="1">
      <c r="A99" s="87">
        <v>20</v>
      </c>
      <c r="B99" s="15">
        <f>B97+7</f>
        <v>43415</v>
      </c>
      <c r="C99" s="20">
        <f>D97+G97-H97</f>
        <v>19703.064847320704</v>
      </c>
      <c r="D99" s="17">
        <f>C99+(C99*0.04)</f>
        <v>20491.187441213533</v>
      </c>
      <c r="E99" s="17">
        <f>C99/3250</f>
        <v>6.0624814914832932</v>
      </c>
      <c r="F99" s="28">
        <f>(D99-C99)/E99</f>
        <v>130.00000000000017</v>
      </c>
      <c r="G99" s="26"/>
      <c r="H99" s="33"/>
      <c r="I99" s="19">
        <f>E99*50/C99</f>
        <v>1.5384615384615382E-2</v>
      </c>
    </row>
    <row r="100" spans="1:9" s="1" customFormat="1">
      <c r="A100" s="88"/>
      <c r="B100" s="15">
        <f>B99+7</f>
        <v>43422</v>
      </c>
      <c r="C100" s="20">
        <f>D99+G99-H99</f>
        <v>20491.187441213533</v>
      </c>
      <c r="D100" s="17">
        <f>C100+(C100*0.04)</f>
        <v>21310.834938862074</v>
      </c>
      <c r="E100" s="17">
        <f>C100/3250</f>
        <v>6.3049807511426259</v>
      </c>
      <c r="F100" s="28">
        <f>(D100-C100)/E100</f>
        <v>129.99999999999989</v>
      </c>
      <c r="G100" s="26"/>
      <c r="H100" s="33"/>
      <c r="I100" s="19">
        <f>E100*50/C100</f>
        <v>1.5384615384615387E-2</v>
      </c>
    </row>
    <row r="101" spans="1:9" s="1" customFormat="1">
      <c r="A101" s="88"/>
      <c r="B101" s="15">
        <f>B100+7</f>
        <v>43429</v>
      </c>
      <c r="C101" s="20">
        <f>D100+G100-H100</f>
        <v>21310.834938862074</v>
      </c>
      <c r="D101" s="17">
        <f>C101+(C101*0.04)</f>
        <v>22163.268336416557</v>
      </c>
      <c r="E101" s="17">
        <f>C101/3250</f>
        <v>6.5571799811883302</v>
      </c>
      <c r="F101" s="28">
        <f>(D101-C101)/E101</f>
        <v>130.00000000000006</v>
      </c>
      <c r="G101" s="26"/>
      <c r="H101" s="33"/>
      <c r="I101" s="19">
        <f>E101*50/C101</f>
        <v>1.5384615384615385E-2</v>
      </c>
    </row>
    <row r="102" spans="1:9" s="1" customFormat="1" ht="13.5" thickBot="1">
      <c r="A102" s="89"/>
      <c r="B102" s="15">
        <f>B101+7</f>
        <v>43436</v>
      </c>
      <c r="C102" s="20">
        <f>D101+G101-H101</f>
        <v>22163.268336416557</v>
      </c>
      <c r="D102" s="17">
        <f>C102+(C102*0.04)</f>
        <v>23049.799069873217</v>
      </c>
      <c r="E102" s="17">
        <f>C102/3250</f>
        <v>6.819467180435864</v>
      </c>
      <c r="F102" s="28">
        <f>(D102-C102)/E102</f>
        <v>129.99999999999974</v>
      </c>
      <c r="G102" s="26"/>
      <c r="H102" s="33"/>
      <c r="I102" s="19">
        <f>E102*50/C102</f>
        <v>1.5384615384615385E-2</v>
      </c>
    </row>
    <row r="103" spans="1:9" ht="13.5" thickBot="1">
      <c r="A103" s="79"/>
      <c r="B103" s="13"/>
      <c r="C103" s="22"/>
      <c r="D103" s="23"/>
      <c r="E103" s="23"/>
      <c r="F103" s="27"/>
      <c r="G103" s="30"/>
      <c r="H103" s="10"/>
      <c r="I103" s="24"/>
    </row>
    <row r="104" spans="1:9" s="1" customFormat="1">
      <c r="A104" s="87">
        <v>21</v>
      </c>
      <c r="B104" s="15">
        <f>B102+7</f>
        <v>43443</v>
      </c>
      <c r="C104" s="20">
        <f>D102+G102-H102</f>
        <v>23049.799069873217</v>
      </c>
      <c r="D104" s="17">
        <f>C104+(C104*0.04)</f>
        <v>23971.791032668145</v>
      </c>
      <c r="E104" s="17">
        <f>C104/3250</f>
        <v>7.0922458676532978</v>
      </c>
      <c r="F104" s="28">
        <f>(D104-C104)/E104</f>
        <v>129.99999999999983</v>
      </c>
      <c r="G104" s="26"/>
      <c r="H104" s="33"/>
      <c r="I104" s="19">
        <f>E104*50/C104</f>
        <v>1.5384615384615385E-2</v>
      </c>
    </row>
    <row r="105" spans="1:9" s="1" customFormat="1">
      <c r="A105" s="88"/>
      <c r="B105" s="15">
        <f>B104+7</f>
        <v>43450</v>
      </c>
      <c r="C105" s="20">
        <f>D104+G104-H104</f>
        <v>23971.791032668145</v>
      </c>
      <c r="D105" s="17">
        <f>C105+(C105*0.04)</f>
        <v>24930.662673974872</v>
      </c>
      <c r="E105" s="17">
        <f>C105/3250</f>
        <v>7.3759357023594294</v>
      </c>
      <c r="F105" s="28">
        <f>(D105-C105)/E105</f>
        <v>130.00000000000014</v>
      </c>
      <c r="G105" s="26"/>
      <c r="H105" s="33"/>
      <c r="I105" s="19">
        <f>E105*50/C105</f>
        <v>1.5384615384615385E-2</v>
      </c>
    </row>
    <row r="106" spans="1:9" s="1" customFormat="1">
      <c r="A106" s="88"/>
      <c r="B106" s="15">
        <f>B105+7</f>
        <v>43457</v>
      </c>
      <c r="C106" s="20">
        <f>D105+G105-H105</f>
        <v>24930.662673974872</v>
      </c>
      <c r="D106" s="17">
        <f>C106+(C106*0.04)</f>
        <v>25927.889180933867</v>
      </c>
      <c r="E106" s="17">
        <f>C106/3250</f>
        <v>7.6709731304538069</v>
      </c>
      <c r="F106" s="28">
        <f>(D106-C106)/E106</f>
        <v>130.00000000000011</v>
      </c>
      <c r="G106" s="26"/>
      <c r="H106" s="33"/>
      <c r="I106" s="19">
        <f>E106*50/C106</f>
        <v>1.5384615384615385E-2</v>
      </c>
    </row>
    <row r="107" spans="1:9" s="1" customFormat="1" ht="13.5" thickBot="1">
      <c r="A107" s="89"/>
      <c r="B107" s="15">
        <f>B106+7</f>
        <v>43464</v>
      </c>
      <c r="C107" s="20">
        <f>D106+G106-H106</f>
        <v>25927.889180933867</v>
      </c>
      <c r="D107" s="17">
        <f>C107+(C107*0.04)</f>
        <v>26965.004748171221</v>
      </c>
      <c r="E107" s="17">
        <f>C107/3250</f>
        <v>7.9778120556719596</v>
      </c>
      <c r="F107" s="28">
        <f>(D107-C107)/E107</f>
        <v>129.99999999999983</v>
      </c>
      <c r="G107" s="26"/>
      <c r="H107" s="33"/>
      <c r="I107" s="19">
        <f>E107*50/C107</f>
        <v>1.5384615384615384E-2</v>
      </c>
    </row>
    <row r="108" spans="1:9" ht="13.5" thickBot="1">
      <c r="A108" s="79"/>
      <c r="B108" s="13"/>
      <c r="C108" s="22"/>
      <c r="D108" s="23"/>
      <c r="E108" s="23"/>
      <c r="F108" s="27"/>
      <c r="G108" s="30"/>
      <c r="H108" s="10"/>
      <c r="I108" s="24"/>
    </row>
    <row r="109" spans="1:9" s="1" customFormat="1">
      <c r="A109" s="87">
        <v>22</v>
      </c>
      <c r="B109" s="15">
        <f>B107+7</f>
        <v>43471</v>
      </c>
      <c r="C109" s="20">
        <f>D107+G107-H107</f>
        <v>26965.004748171221</v>
      </c>
      <c r="D109" s="17">
        <f>C109+(C109*0.04)</f>
        <v>28043.604938098069</v>
      </c>
      <c r="E109" s="17">
        <f>C109/3250</f>
        <v>8.2969245378988372</v>
      </c>
      <c r="F109" s="28">
        <f>(D109-C109)/E109</f>
        <v>129.99999999999997</v>
      </c>
      <c r="G109" s="26"/>
      <c r="H109" s="33"/>
      <c r="I109" s="19">
        <f>E109*50/C109</f>
        <v>1.5384615384615385E-2</v>
      </c>
    </row>
    <row r="110" spans="1:9">
      <c r="A110" s="88"/>
      <c r="B110" s="15">
        <f>B109+7</f>
        <v>43478</v>
      </c>
      <c r="C110" s="20">
        <f>D109+G109-H109</f>
        <v>28043.604938098069</v>
      </c>
      <c r="D110" s="17">
        <f>C110+(C110*0.04)</f>
        <v>29165.349135621993</v>
      </c>
      <c r="E110" s="17">
        <f>C110/3250</f>
        <v>8.6288015194147913</v>
      </c>
      <c r="F110" s="28">
        <f>(D110-C110)/E110</f>
        <v>130.00000000000009</v>
      </c>
      <c r="G110" s="26"/>
      <c r="H110" s="33"/>
      <c r="I110" s="19">
        <f>E110*50/C110</f>
        <v>1.5384615384615385E-2</v>
      </c>
    </row>
    <row r="111" spans="1:9">
      <c r="A111" s="88"/>
      <c r="B111" s="15">
        <f>B110+7</f>
        <v>43485</v>
      </c>
      <c r="C111" s="20">
        <f>D110+G110-H110</f>
        <v>29165.349135621993</v>
      </c>
      <c r="D111" s="17">
        <f>C111+(C111*0.04)</f>
        <v>30331.963101046873</v>
      </c>
      <c r="E111" s="17">
        <f>C111/3250</f>
        <v>8.9739535801913828</v>
      </c>
      <c r="F111" s="28">
        <f>(D111-C111)/E111</f>
        <v>130.00000000000003</v>
      </c>
      <c r="G111" s="26"/>
      <c r="H111" s="33"/>
      <c r="I111" s="19">
        <f>E111*50/C111</f>
        <v>1.5384615384615385E-2</v>
      </c>
    </row>
    <row r="112" spans="1:9" ht="13.5" thickBot="1">
      <c r="A112" s="89"/>
      <c r="B112" s="15">
        <f>B111+7</f>
        <v>43492</v>
      </c>
      <c r="C112" s="20">
        <f>D111+G111-H111</f>
        <v>30331.963101046873</v>
      </c>
      <c r="D112" s="17">
        <f>C112+(C112*0.04)</f>
        <v>31545.241625088747</v>
      </c>
      <c r="E112" s="17">
        <f>C112/3250</f>
        <v>9.3329117233990377</v>
      </c>
      <c r="F112" s="28">
        <f>(D112-C112)/E112</f>
        <v>129.99999999999994</v>
      </c>
      <c r="G112" s="26"/>
      <c r="H112" s="33"/>
      <c r="I112" s="19">
        <f>E112*50/C112</f>
        <v>1.5384615384615385E-2</v>
      </c>
    </row>
    <row r="113" spans="1:9" ht="13.5" thickBot="1">
      <c r="A113" s="79"/>
      <c r="B113" s="13"/>
      <c r="C113" s="22"/>
      <c r="D113" s="23"/>
      <c r="E113" s="23"/>
      <c r="F113" s="27"/>
      <c r="G113" s="30"/>
      <c r="H113" s="10"/>
      <c r="I113" s="24"/>
    </row>
    <row r="114" spans="1:9">
      <c r="A114" s="87">
        <v>23</v>
      </c>
      <c r="B114" s="15">
        <f>B112+7</f>
        <v>43499</v>
      </c>
      <c r="C114" s="20">
        <f>D112+G112-H112</f>
        <v>31545.241625088747</v>
      </c>
      <c r="D114" s="17">
        <f>C114+(C114*0.04)</f>
        <v>32807.051290092299</v>
      </c>
      <c r="E114" s="17">
        <f>C114/3250</f>
        <v>9.7062281923349989</v>
      </c>
      <c r="F114" s="28">
        <f>(D114-C114)/E114</f>
        <v>130.00000000000014</v>
      </c>
      <c r="G114" s="26"/>
      <c r="H114" s="33"/>
      <c r="I114" s="19">
        <f>E114*50/C114</f>
        <v>1.5384615384615384E-2</v>
      </c>
    </row>
    <row r="115" spans="1:9">
      <c r="A115" s="88"/>
      <c r="B115" s="15">
        <f>B114+7</f>
        <v>43506</v>
      </c>
      <c r="C115" s="20">
        <f>D114+G114-H114</f>
        <v>32807.051290092299</v>
      </c>
      <c r="D115" s="17">
        <f>C115+(C115*0.04)</f>
        <v>34119.333341695994</v>
      </c>
      <c r="E115" s="17">
        <f>C115/3250</f>
        <v>10.0944773200284</v>
      </c>
      <c r="F115" s="28">
        <f>(D115-C115)/E115</f>
        <v>130.00000000000034</v>
      </c>
      <c r="G115" s="26"/>
      <c r="H115" s="33"/>
      <c r="I115" s="19">
        <f>E115*50/C115</f>
        <v>1.5384615384615385E-2</v>
      </c>
    </row>
    <row r="116" spans="1:9">
      <c r="A116" s="88"/>
      <c r="B116" s="15">
        <f>B115+7</f>
        <v>43513</v>
      </c>
      <c r="C116" s="20">
        <f>D115+G115-H115</f>
        <v>34119.333341695994</v>
      </c>
      <c r="D116" s="17">
        <f>C116+(C116*0.04)</f>
        <v>35484.106675363837</v>
      </c>
      <c r="E116" s="17">
        <f>C116/3250</f>
        <v>10.498256412829537</v>
      </c>
      <c r="F116" s="28">
        <f>(D116-C116)/E116</f>
        <v>130.00000000000028</v>
      </c>
      <c r="G116" s="26"/>
      <c r="H116" s="33"/>
      <c r="I116" s="19">
        <f>E116*50/C116</f>
        <v>1.5384615384615385E-2</v>
      </c>
    </row>
    <row r="117" spans="1:9" ht="13.5" thickBot="1">
      <c r="A117" s="89"/>
      <c r="B117" s="15">
        <f>B116+7</f>
        <v>43520</v>
      </c>
      <c r="C117" s="20">
        <f>D116+G116-H116</f>
        <v>35484.106675363837</v>
      </c>
      <c r="D117" s="17">
        <f>C117+(C117*0.04)</f>
        <v>36903.470942378393</v>
      </c>
      <c r="E117" s="17">
        <f>C117/3250</f>
        <v>10.918186669342719</v>
      </c>
      <c r="F117" s="28">
        <f>(D117-C117)/E117</f>
        <v>130.00000000000028</v>
      </c>
      <c r="G117" s="26"/>
      <c r="H117" s="33"/>
      <c r="I117" s="19">
        <f>E117*50/C117</f>
        <v>1.5384615384615385E-2</v>
      </c>
    </row>
    <row r="118" spans="1:9" ht="13.5" thickBot="1">
      <c r="A118" s="79"/>
      <c r="B118" s="13"/>
      <c r="C118" s="22"/>
      <c r="D118" s="23"/>
      <c r="E118" s="23"/>
      <c r="F118" s="27"/>
      <c r="G118" s="30"/>
      <c r="H118" s="10"/>
      <c r="I118" s="24"/>
    </row>
    <row r="119" spans="1:9">
      <c r="A119" s="87">
        <v>24</v>
      </c>
      <c r="B119" s="15">
        <f>B117+7</f>
        <v>43527</v>
      </c>
      <c r="C119" s="20">
        <f>D117+G117-H117</f>
        <v>36903.470942378393</v>
      </c>
      <c r="D119" s="17">
        <f>C119+(C119*0.04)</f>
        <v>38379.60978007353</v>
      </c>
      <c r="E119" s="17">
        <f>C119/3250</f>
        <v>11.354914136116429</v>
      </c>
      <c r="F119" s="28">
        <f>(D119-C119)/E119</f>
        <v>130.00000000000006</v>
      </c>
      <c r="G119" s="26"/>
      <c r="H119" s="33"/>
      <c r="I119" s="19">
        <f>E119*50/C119</f>
        <v>1.5384615384615385E-2</v>
      </c>
    </row>
    <row r="120" spans="1:9">
      <c r="A120" s="88"/>
      <c r="B120" s="15">
        <f>B119+7</f>
        <v>43534</v>
      </c>
      <c r="C120" s="20">
        <f>D119+G119-H119</f>
        <v>38379.60978007353</v>
      </c>
      <c r="D120" s="17">
        <f>C120+(C120*0.04)</f>
        <v>39914.794171276473</v>
      </c>
      <c r="E120" s="17">
        <f>C120/3250</f>
        <v>11.809110701561085</v>
      </c>
      <c r="F120" s="28">
        <f>(D120-C120)/E120</f>
        <v>130.0000000000002</v>
      </c>
      <c r="G120" s="26"/>
      <c r="H120" s="33"/>
      <c r="I120" s="19">
        <f>E120*50/C120</f>
        <v>1.5384615384615384E-2</v>
      </c>
    </row>
    <row r="121" spans="1:9">
      <c r="A121" s="88"/>
      <c r="B121" s="15">
        <f>B120+7</f>
        <v>43541</v>
      </c>
      <c r="C121" s="20">
        <f>D120+G120-H120</f>
        <v>39914.794171276473</v>
      </c>
      <c r="D121" s="17">
        <f>C121+(C121*0.04)</f>
        <v>41511.385938127532</v>
      </c>
      <c r="E121" s="17">
        <f>C121/3250</f>
        <v>12.28147512962353</v>
      </c>
      <c r="F121" s="28">
        <f>(D121-C121)/E121</f>
        <v>130.00000000000003</v>
      </c>
      <c r="G121" s="26"/>
      <c r="H121" s="33"/>
      <c r="I121" s="19">
        <f>E121*50/C121</f>
        <v>1.5384615384615384E-2</v>
      </c>
    </row>
    <row r="122" spans="1:9" ht="13.5" thickBot="1">
      <c r="A122" s="89"/>
      <c r="B122" s="15">
        <f>B121+7</f>
        <v>43548</v>
      </c>
      <c r="C122" s="20">
        <f>D121+G121-H121</f>
        <v>41511.385938127532</v>
      </c>
      <c r="D122" s="17">
        <f>C122+(C122*0.04)</f>
        <v>43171.841375652635</v>
      </c>
      <c r="E122" s="17">
        <f>C122/3250</f>
        <v>12.772734134808472</v>
      </c>
      <c r="F122" s="28">
        <f>(D122-C122)/E122</f>
        <v>130.00000000000011</v>
      </c>
      <c r="G122" s="26"/>
      <c r="H122" s="33"/>
      <c r="I122" s="19">
        <f>E122*50/C122</f>
        <v>1.5384615384615385E-2</v>
      </c>
    </row>
    <row r="123" spans="1:9" ht="13.5" thickBot="1">
      <c r="A123" s="79"/>
      <c r="B123" s="13"/>
      <c r="C123" s="22"/>
      <c r="D123" s="23"/>
      <c r="E123" s="23"/>
      <c r="F123" s="27"/>
      <c r="G123" s="30"/>
      <c r="H123" s="10"/>
      <c r="I123" s="24"/>
    </row>
    <row r="124" spans="1:9">
      <c r="A124" s="87">
        <v>25</v>
      </c>
      <c r="B124" s="15">
        <f>B122+7</f>
        <v>43555</v>
      </c>
      <c r="C124" s="20">
        <f>D122+G122-H122</f>
        <v>43171.841375652635</v>
      </c>
      <c r="D124" s="17">
        <f>C124+(C124*0.04)</f>
        <v>44898.715030678737</v>
      </c>
      <c r="E124" s="17">
        <f>C124/3250</f>
        <v>13.28364350020081</v>
      </c>
      <c r="F124" s="28">
        <f>(D124-C124)/E124</f>
        <v>129.99999999999974</v>
      </c>
      <c r="G124" s="26"/>
      <c r="H124" s="33"/>
      <c r="I124" s="19">
        <f>E124*50/C124</f>
        <v>1.5384615384615384E-2</v>
      </c>
    </row>
    <row r="125" spans="1:9">
      <c r="A125" s="88"/>
      <c r="B125" s="15">
        <f>B124+7</f>
        <v>43562</v>
      </c>
      <c r="C125" s="20">
        <f>D124+G124-H124</f>
        <v>44898.715030678737</v>
      </c>
      <c r="D125" s="17">
        <f>C125+(C125*0.04)</f>
        <v>46694.663631905889</v>
      </c>
      <c r="E125" s="17">
        <f>C125/3250</f>
        <v>13.814989240208842</v>
      </c>
      <c r="F125" s="28">
        <f>(D125-C125)/E125</f>
        <v>130.00000000000017</v>
      </c>
      <c r="G125" s="26"/>
      <c r="H125" s="33"/>
      <c r="I125" s="19">
        <f>E125*50/C125</f>
        <v>1.5384615384615385E-2</v>
      </c>
    </row>
    <row r="126" spans="1:9">
      <c r="A126" s="88"/>
      <c r="B126" s="15">
        <f>B125+7</f>
        <v>43569</v>
      </c>
      <c r="C126" s="20">
        <f>D125+G125-H125</f>
        <v>46694.663631905889</v>
      </c>
      <c r="D126" s="17">
        <f>C126+(C126*0.04)</f>
        <v>48562.450177182123</v>
      </c>
      <c r="E126" s="17">
        <f>C126/3250</f>
        <v>14.367588809817196</v>
      </c>
      <c r="F126" s="28">
        <f>(D126-C126)/E126</f>
        <v>129.99999999999991</v>
      </c>
      <c r="G126" s="26"/>
      <c r="H126" s="33"/>
      <c r="I126" s="19">
        <f>E126*50/C126</f>
        <v>1.5384615384615384E-2</v>
      </c>
    </row>
    <row r="127" spans="1:9" ht="13.5" thickBot="1">
      <c r="A127" s="89"/>
      <c r="B127" s="15">
        <f>B126+7</f>
        <v>43576</v>
      </c>
      <c r="C127" s="20">
        <f>D126+G126-H126</f>
        <v>48562.450177182123</v>
      </c>
      <c r="D127" s="17">
        <f>C127+(C127*0.04)</f>
        <v>50504.948184269408</v>
      </c>
      <c r="E127" s="17">
        <f>C127/3250</f>
        <v>14.942292362209884</v>
      </c>
      <c r="F127" s="28">
        <f>(D127-C127)/E127</f>
        <v>129.99999999999997</v>
      </c>
      <c r="G127" s="26"/>
      <c r="H127" s="33"/>
      <c r="I127" s="19">
        <f>E127*50/C127</f>
        <v>1.5384615384615384E-2</v>
      </c>
    </row>
    <row r="128" spans="1:9" ht="13.5" thickBot="1">
      <c r="A128" s="79"/>
      <c r="B128" s="13"/>
      <c r="C128" s="22"/>
      <c r="D128" s="23"/>
      <c r="E128" s="23"/>
      <c r="F128" s="27"/>
      <c r="G128" s="30"/>
      <c r="H128" s="10"/>
      <c r="I128" s="24"/>
    </row>
    <row r="129" spans="1:9">
      <c r="A129" s="87">
        <v>26</v>
      </c>
      <c r="B129" s="15">
        <f>B127+7</f>
        <v>43583</v>
      </c>
      <c r="C129" s="20">
        <f>D127+G127-H127</f>
        <v>50504.948184269408</v>
      </c>
      <c r="D129" s="17">
        <f>C129+(C129*0.04)</f>
        <v>52525.146111640184</v>
      </c>
      <c r="E129" s="17">
        <f>C129/3250</f>
        <v>15.539984056698279</v>
      </c>
      <c r="F129" s="28">
        <f>(D129-C129)/E129</f>
        <v>130.00000000000003</v>
      </c>
      <c r="G129" s="26"/>
      <c r="H129" s="33"/>
      <c r="I129" s="19">
        <f>E129*50/C129</f>
        <v>1.5384615384615384E-2</v>
      </c>
    </row>
    <row r="130" spans="1:9">
      <c r="A130" s="88"/>
      <c r="B130" s="15">
        <f>B129+7</f>
        <v>43590</v>
      </c>
      <c r="C130" s="20">
        <f>D129+G129-H129</f>
        <v>52525.146111640184</v>
      </c>
      <c r="D130" s="17">
        <f>C130+(C130*0.04)</f>
        <v>54626.151956105794</v>
      </c>
      <c r="E130" s="17">
        <f>C130/3250</f>
        <v>16.16158341896621</v>
      </c>
      <c r="F130" s="28">
        <f>(D130-C130)/E130</f>
        <v>130.00000000000014</v>
      </c>
      <c r="G130" s="26"/>
      <c r="H130" s="33"/>
      <c r="I130" s="19">
        <f>E130*50/C130</f>
        <v>1.5384615384615382E-2</v>
      </c>
    </row>
    <row r="131" spans="1:9">
      <c r="A131" s="88"/>
      <c r="B131" s="15">
        <f>B130+7</f>
        <v>43597</v>
      </c>
      <c r="C131" s="20">
        <f>D130+G130-H130</f>
        <v>54626.151956105794</v>
      </c>
      <c r="D131" s="17">
        <f>C131+(C131*0.04)</f>
        <v>56811.198034350025</v>
      </c>
      <c r="E131" s="17">
        <f>C131/3250</f>
        <v>16.80804675572486</v>
      </c>
      <c r="F131" s="28">
        <f>(D131-C131)/E131</f>
        <v>129.99999999999997</v>
      </c>
      <c r="G131" s="26"/>
      <c r="H131" s="33"/>
      <c r="I131" s="19">
        <f>E131*50/C131</f>
        <v>1.5384615384615384E-2</v>
      </c>
    </row>
    <row r="132" spans="1:9" ht="13.5" thickBot="1">
      <c r="A132" s="89"/>
      <c r="B132" s="15">
        <f>B131+7</f>
        <v>43604</v>
      </c>
      <c r="C132" s="20">
        <f>D131+G131-H131</f>
        <v>56811.198034350025</v>
      </c>
      <c r="D132" s="17">
        <f>C132+(C132*0.04)</f>
        <v>59083.645955724023</v>
      </c>
      <c r="E132" s="17">
        <f>C132/3250</f>
        <v>17.480368625953854</v>
      </c>
      <c r="F132" s="28">
        <f>(D132-C132)/E132</f>
        <v>129.9999999999998</v>
      </c>
      <c r="G132" s="26"/>
      <c r="H132" s="33"/>
      <c r="I132" s="19">
        <f>E132*50/C132</f>
        <v>1.5384615384615385E-2</v>
      </c>
    </row>
    <row r="133" spans="1:9" ht="13.5" thickBot="1">
      <c r="A133" s="79"/>
      <c r="B133" s="13"/>
      <c r="C133" s="22"/>
      <c r="D133" s="23"/>
      <c r="E133" s="23"/>
      <c r="F133" s="27"/>
      <c r="G133" s="30"/>
      <c r="H133" s="10"/>
      <c r="I133" s="24"/>
    </row>
    <row r="134" spans="1:9">
      <c r="A134" s="87">
        <v>27</v>
      </c>
      <c r="B134" s="15">
        <f>B132+7</f>
        <v>43611</v>
      </c>
      <c r="C134" s="20">
        <f>D132+G132-H132</f>
        <v>59083.645955724023</v>
      </c>
      <c r="D134" s="17">
        <f>C134+(C134*0.04)</f>
        <v>61446.991793952984</v>
      </c>
      <c r="E134" s="17">
        <f>C134/3250</f>
        <v>18.179583370992006</v>
      </c>
      <c r="F134" s="28">
        <f>(D134-C134)/E134</f>
        <v>130</v>
      </c>
      <c r="G134" s="26"/>
      <c r="H134" s="33"/>
      <c r="I134" s="19">
        <f>E134*50/C134</f>
        <v>1.5384615384615384E-2</v>
      </c>
    </row>
    <row r="135" spans="1:9">
      <c r="A135" s="88"/>
      <c r="B135" s="15">
        <f>B134+7</f>
        <v>43618</v>
      </c>
      <c r="C135" s="20">
        <f>D134+G134-H134</f>
        <v>61446.991793952984</v>
      </c>
      <c r="D135" s="17">
        <f>C135+(C135*0.04)</f>
        <v>63904.871465711105</v>
      </c>
      <c r="E135" s="17">
        <f>C135/3250</f>
        <v>18.906766705831686</v>
      </c>
      <c r="F135" s="28">
        <f>(D135-C135)/E135</f>
        <v>130.00000000000009</v>
      </c>
      <c r="G135" s="26"/>
      <c r="H135" s="33"/>
      <c r="I135" s="19">
        <f>E135*50/C135</f>
        <v>1.5384615384615382E-2</v>
      </c>
    </row>
    <row r="136" spans="1:9">
      <c r="A136" s="88"/>
      <c r="B136" s="15">
        <f>B135+7</f>
        <v>43625</v>
      </c>
      <c r="C136" s="20">
        <f>D135+G135-H135</f>
        <v>63904.871465711105</v>
      </c>
      <c r="D136" s="17">
        <f>C136+(C136*0.04)</f>
        <v>66461.066324339554</v>
      </c>
      <c r="E136" s="17">
        <f>C136/3250</f>
        <v>19.663037374064956</v>
      </c>
      <c r="F136" s="28">
        <f>(D136-C136)/E136</f>
        <v>130.00000000000023</v>
      </c>
      <c r="G136" s="26"/>
      <c r="H136" s="33"/>
      <c r="I136" s="19">
        <f>E136*50/C136</f>
        <v>1.5384615384615385E-2</v>
      </c>
    </row>
    <row r="137" spans="1:9">
      <c r="A137" s="88"/>
      <c r="B137" s="15">
        <f>B136+7</f>
        <v>43632</v>
      </c>
      <c r="C137" s="20">
        <f>D136+G136-H136</f>
        <v>66461.066324339554</v>
      </c>
      <c r="D137" s="17">
        <f>C137+(C137*0.04)</f>
        <v>69119.508977313133</v>
      </c>
      <c r="E137" s="17">
        <f>C137/3250</f>
        <v>20.449558869027555</v>
      </c>
      <c r="F137" s="28">
        <f>(D137-C137)/E137</f>
        <v>129.99999999999986</v>
      </c>
      <c r="G137" s="26"/>
      <c r="H137" s="33"/>
      <c r="I137" s="19">
        <f>E137*50/C137</f>
        <v>1.5384615384615385E-2</v>
      </c>
    </row>
    <row r="138" spans="1:9" ht="14.25" customHeight="1" thickBot="1">
      <c r="A138" s="84"/>
      <c r="B138" s="15">
        <f>B137+7</f>
        <v>43639</v>
      </c>
      <c r="C138" s="20">
        <f>D137+G137-H137</f>
        <v>69119.508977313133</v>
      </c>
      <c r="D138" s="17">
        <f>C138+(C138*0.04)</f>
        <v>71884.289336405665</v>
      </c>
      <c r="E138" s="17">
        <f>C138/3250</f>
        <v>21.267541223788655</v>
      </c>
      <c r="F138" s="28">
        <f>(D138-C138)/E138</f>
        <v>130.00000000000034</v>
      </c>
      <c r="G138" s="26"/>
      <c r="H138" s="33"/>
      <c r="I138" s="19">
        <f>E138*50/C138</f>
        <v>1.5384615384615382E-2</v>
      </c>
    </row>
    <row r="139" spans="1:9" ht="13.5" thickBot="1">
      <c r="A139" s="79"/>
      <c r="B139" s="13"/>
      <c r="C139" s="22"/>
      <c r="D139" s="23"/>
      <c r="E139" s="23"/>
      <c r="F139" s="27"/>
      <c r="G139" s="30"/>
      <c r="H139" s="10"/>
      <c r="I139" s="24"/>
    </row>
  </sheetData>
  <mergeCells count="28">
    <mergeCell ref="A119:A122"/>
    <mergeCell ref="A124:A127"/>
    <mergeCell ref="A129:A132"/>
    <mergeCell ref="A134:A137"/>
    <mergeCell ref="A89:A92"/>
    <mergeCell ref="A94:A97"/>
    <mergeCell ref="A99:A102"/>
    <mergeCell ref="A104:A107"/>
    <mergeCell ref="A109:A112"/>
    <mergeCell ref="A114:A117"/>
    <mergeCell ref="A84:A8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79:A82"/>
    <mergeCell ref="A24:A27"/>
    <mergeCell ref="B1:I1"/>
    <mergeCell ref="A4:A7"/>
    <mergeCell ref="A9:A12"/>
    <mergeCell ref="A14:A17"/>
    <mergeCell ref="A19:A2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BrianM_Perfomance</vt:lpstr>
      <vt:lpstr>Ham_Perfomance</vt:lpstr>
      <vt:lpstr>Rud_Perfomance</vt:lpstr>
      <vt:lpstr>Dam_Perfomance</vt:lpstr>
      <vt:lpstr>Taf_Perfomance</vt:lpstr>
      <vt:lpstr>Account_Perfomance</vt:lpstr>
      <vt:lpstr>Projections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cash</cp:lastModifiedBy>
  <dcterms:created xsi:type="dcterms:W3CDTF">2010-11-17T19:48:04Z</dcterms:created>
  <dcterms:modified xsi:type="dcterms:W3CDTF">2017-07-29T15:11:39Z</dcterms:modified>
</cp:coreProperties>
</file>